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3 CERAÇÁ - Godoy\"/>
    </mc:Choice>
  </mc:AlternateContent>
  <xr:revisionPtr revIDLastSave="0" documentId="8_{8B44A9B0-F151-41BF-9023-93419B1D2C14}" xr6:coauthVersionLast="47" xr6:coauthVersionMax="47" xr10:uidLastSave="{00000000-0000-0000-0000-000000000000}"/>
  <bookViews>
    <workbookView xWindow="-120" yWindow="-120" windowWidth="24240" windowHeight="13140" tabRatio="79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Faturas!$AB$1:$AE$544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30" r:id="rId49"/>
    <pivotCache cacheId="3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5" i="89" l="1"/>
  <c r="D97" i="50"/>
  <c r="AN206" i="89" s="1"/>
  <c r="M48" i="50" l="1"/>
  <c r="K186" i="49" s="1"/>
  <c r="L48" i="50"/>
  <c r="J186" i="49" s="1"/>
  <c r="K48" i="50"/>
  <c r="I186" i="49" s="1"/>
  <c r="J48" i="50"/>
  <c r="H186" i="49" s="1"/>
  <c r="I48" i="50"/>
  <c r="G186" i="49" s="1"/>
  <c r="H48" i="50"/>
  <c r="F186" i="49" s="1"/>
  <c r="M47" i="50"/>
  <c r="K185" i="49" s="1"/>
  <c r="L47" i="50"/>
  <c r="J185" i="49" s="1"/>
  <c r="K47" i="50"/>
  <c r="I185" i="49" s="1"/>
  <c r="J47" i="50"/>
  <c r="H185" i="49" s="1"/>
  <c r="I47" i="50"/>
  <c r="G185" i="49" s="1"/>
  <c r="H47" i="50"/>
  <c r="F185" i="49" s="1"/>
  <c r="M46" i="50"/>
  <c r="K184" i="49" s="1"/>
  <c r="L46" i="50"/>
  <c r="J184" i="49" s="1"/>
  <c r="K46" i="50"/>
  <c r="I184" i="49" s="1"/>
  <c r="J46" i="50"/>
  <c r="H184" i="49" s="1"/>
  <c r="I46" i="50"/>
  <c r="G184" i="49" s="1"/>
  <c r="H46" i="50"/>
  <c r="F184" i="49" s="1"/>
  <c r="M45" i="50"/>
  <c r="L45" i="50"/>
  <c r="K45" i="50"/>
  <c r="J45" i="50"/>
  <c r="I45" i="50"/>
  <c r="H45" i="50"/>
  <c r="M44" i="50"/>
  <c r="L44" i="50"/>
  <c r="K44" i="50"/>
  <c r="J44" i="50"/>
  <c r="I44" i="50"/>
  <c r="H44" i="50"/>
  <c r="M43" i="50"/>
  <c r="K181" i="49" s="1"/>
  <c r="L43" i="50"/>
  <c r="J181" i="49" s="1"/>
  <c r="K43" i="50"/>
  <c r="I181" i="49" s="1"/>
  <c r="J43" i="50"/>
  <c r="H181" i="49" s="1"/>
  <c r="I43" i="50"/>
  <c r="G181" i="49" s="1"/>
  <c r="H43" i="50"/>
  <c r="F181" i="49" s="1"/>
  <c r="M42" i="50"/>
  <c r="K180" i="49" s="1"/>
  <c r="L42" i="50"/>
  <c r="J180" i="49" s="1"/>
  <c r="K42" i="50"/>
  <c r="I180" i="49" s="1"/>
  <c r="J42" i="50"/>
  <c r="H180" i="49" s="1"/>
  <c r="I42" i="50"/>
  <c r="G180" i="49" s="1"/>
  <c r="H42" i="50"/>
  <c r="F180" i="49" s="1"/>
  <c r="M41" i="50"/>
  <c r="K179" i="49" s="1"/>
  <c r="L41" i="50"/>
  <c r="J179" i="49" s="1"/>
  <c r="K41" i="50"/>
  <c r="I179" i="49" s="1"/>
  <c r="J41" i="50"/>
  <c r="H179" i="49" s="1"/>
  <c r="I41" i="50"/>
  <c r="G179" i="49" s="1"/>
  <c r="H41" i="50"/>
  <c r="F179" i="49" s="1"/>
  <c r="M40" i="50"/>
  <c r="K178" i="49" s="1"/>
  <c r="L40" i="50"/>
  <c r="J178" i="49" s="1"/>
  <c r="K40" i="50"/>
  <c r="I178" i="49" s="1"/>
  <c r="J40" i="50"/>
  <c r="H178" i="49" s="1"/>
  <c r="I40" i="50"/>
  <c r="G178" i="49" s="1"/>
  <c r="H40" i="50"/>
  <c r="F178" i="49" s="1"/>
  <c r="M39" i="50"/>
  <c r="K177" i="49" s="1"/>
  <c r="L39" i="50"/>
  <c r="J177" i="49" s="1"/>
  <c r="K39" i="50"/>
  <c r="I177" i="49" s="1"/>
  <c r="J39" i="50"/>
  <c r="H177" i="49" s="1"/>
  <c r="I39" i="50"/>
  <c r="G177" i="49" s="1"/>
  <c r="H39" i="50"/>
  <c r="F177" i="49" s="1"/>
  <c r="M38" i="50"/>
  <c r="K176" i="49" s="1"/>
  <c r="L38" i="50"/>
  <c r="J176" i="49" s="1"/>
  <c r="K38" i="50"/>
  <c r="I176" i="49" s="1"/>
  <c r="J38" i="50"/>
  <c r="H176" i="49" s="1"/>
  <c r="I38" i="50"/>
  <c r="G176" i="49" s="1"/>
  <c r="H38" i="50"/>
  <c r="F176" i="49" s="1"/>
  <c r="M37" i="50"/>
  <c r="K175" i="49" s="1"/>
  <c r="L37" i="50"/>
  <c r="J175" i="49" s="1"/>
  <c r="K37" i="50"/>
  <c r="I175" i="49" s="1"/>
  <c r="J37" i="50"/>
  <c r="H175" i="49" s="1"/>
  <c r="I37" i="50"/>
  <c r="G175" i="49" s="1"/>
  <c r="H37" i="50"/>
  <c r="F175" i="49" s="1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5" i="89" l="1"/>
  <c r="AU252" i="89"/>
  <c r="AU262" i="89"/>
  <c r="AU269" i="89"/>
  <c r="AU261" i="89"/>
  <c r="AU268" i="89"/>
  <c r="AU260" i="89"/>
  <c r="AU251" i="89"/>
  <c r="AU270" i="89"/>
  <c r="AU267" i="89"/>
  <c r="AU259" i="89"/>
  <c r="AU250" i="89"/>
  <c r="AU272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F149" i="49" s="1"/>
  <c r="I11" i="50"/>
  <c r="G149" i="49" s="1"/>
  <c r="J11" i="50"/>
  <c r="H149" i="49" s="1"/>
  <c r="K11" i="50"/>
  <c r="I149" i="49" s="1"/>
  <c r="L11" i="50"/>
  <c r="J149" i="49" s="1"/>
  <c r="M11" i="50"/>
  <c r="K149" i="49" s="1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H29" i="50"/>
  <c r="F167" i="49" s="1"/>
  <c r="I29" i="50"/>
  <c r="G167" i="49" s="1"/>
  <c r="J29" i="50"/>
  <c r="H167" i="49" s="1"/>
  <c r="K29" i="50"/>
  <c r="I167" i="49" s="1"/>
  <c r="L29" i="50"/>
  <c r="J167" i="49" s="1"/>
  <c r="M29" i="50"/>
  <c r="K167" i="49" s="1"/>
  <c r="H30" i="50"/>
  <c r="F168" i="49" s="1"/>
  <c r="I30" i="50"/>
  <c r="G168" i="49" s="1"/>
  <c r="J30" i="50"/>
  <c r="H168" i="49" s="1"/>
  <c r="K30" i="50"/>
  <c r="I168" i="49" s="1"/>
  <c r="L30" i="50"/>
  <c r="J168" i="49" s="1"/>
  <c r="M30" i="50"/>
  <c r="K168" i="49" s="1"/>
  <c r="H31" i="50"/>
  <c r="F169" i="49" s="1"/>
  <c r="I31" i="50"/>
  <c r="G169" i="49" s="1"/>
  <c r="J31" i="50"/>
  <c r="H169" i="49" s="1"/>
  <c r="K31" i="50"/>
  <c r="I169" i="49" s="1"/>
  <c r="L31" i="50"/>
  <c r="J169" i="49" s="1"/>
  <c r="M31" i="50"/>
  <c r="K169" i="49" s="1"/>
  <c r="H32" i="50"/>
  <c r="F170" i="49" s="1"/>
  <c r="I32" i="50"/>
  <c r="G170" i="49" s="1"/>
  <c r="J32" i="50"/>
  <c r="H170" i="49" s="1"/>
  <c r="K32" i="50"/>
  <c r="I170" i="49" s="1"/>
  <c r="L32" i="50"/>
  <c r="J170" i="49" s="1"/>
  <c r="M32" i="50"/>
  <c r="K170" i="49" s="1"/>
  <c r="H33" i="50"/>
  <c r="F171" i="49" s="1"/>
  <c r="I33" i="50"/>
  <c r="G171" i="49" s="1"/>
  <c r="J33" i="50"/>
  <c r="H171" i="49" s="1"/>
  <c r="K33" i="50"/>
  <c r="I171" i="49" s="1"/>
  <c r="L33" i="50"/>
  <c r="J171" i="49" s="1"/>
  <c r="M33" i="50"/>
  <c r="K171" i="49" s="1"/>
  <c r="H34" i="50"/>
  <c r="F172" i="49" s="1"/>
  <c r="I34" i="50"/>
  <c r="G172" i="49" s="1"/>
  <c r="J34" i="50"/>
  <c r="H172" i="49" s="1"/>
  <c r="K34" i="50"/>
  <c r="I172" i="49" s="1"/>
  <c r="L34" i="50"/>
  <c r="J172" i="49" s="1"/>
  <c r="M34" i="50"/>
  <c r="K172" i="49" s="1"/>
  <c r="H35" i="50"/>
  <c r="F173" i="49" s="1"/>
  <c r="I35" i="50"/>
  <c r="G173" i="49" s="1"/>
  <c r="J35" i="50"/>
  <c r="H173" i="49" s="1"/>
  <c r="K35" i="50"/>
  <c r="I173" i="49" s="1"/>
  <c r="L35" i="50"/>
  <c r="J173" i="49" s="1"/>
  <c r="M35" i="50"/>
  <c r="K173" i="49" s="1"/>
  <c r="H36" i="50"/>
  <c r="F174" i="49" s="1"/>
  <c r="I36" i="50"/>
  <c r="G174" i="49" s="1"/>
  <c r="J36" i="50"/>
  <c r="H174" i="49" s="1"/>
  <c r="K36" i="50"/>
  <c r="I174" i="49" s="1"/>
  <c r="L36" i="50"/>
  <c r="J174" i="49" s="1"/>
  <c r="M36" i="50"/>
  <c r="K174" i="49" s="1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F235" i="49" s="1"/>
  <c r="I97" i="50"/>
  <c r="G235" i="49" s="1"/>
  <c r="J97" i="50"/>
  <c r="H235" i="49" s="1"/>
  <c r="K97" i="50"/>
  <c r="I235" i="49" s="1"/>
  <c r="L97" i="50"/>
  <c r="J235" i="49" s="1"/>
  <c r="M97" i="50"/>
  <c r="K235" i="49" s="1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I20" i="51"/>
  <c r="E10" i="143" s="1"/>
  <c r="E42" i="143" l="1"/>
  <c r="AU225" i="89"/>
  <c r="AV225" i="89" s="1"/>
  <c r="D8" i="139"/>
  <c r="D7" i="13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5" i="78"/>
  <c r="C119" i="78"/>
  <c r="D114" i="78"/>
  <c r="D116" i="78"/>
  <c r="D117" i="78"/>
  <c r="C117" i="78"/>
  <c r="C114" i="78"/>
  <c r="D119" i="78"/>
  <c r="C116" i="78"/>
  <c r="C115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6" i="49"/>
  <c r="Q113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3" i="78"/>
  <c r="C17" i="78"/>
  <c r="G10" i="78"/>
  <c r="D20" i="78"/>
  <c r="G8" i="78"/>
  <c r="C14" i="78"/>
  <c r="C88" i="78"/>
  <c r="C80" i="78"/>
  <c r="C81" i="78"/>
  <c r="C11" i="78"/>
  <c r="D17" i="78"/>
  <c r="D19" i="78"/>
  <c r="C83" i="78"/>
  <c r="C79" i="78"/>
  <c r="C13" i="78"/>
  <c r="D9" i="78"/>
  <c r="C12" i="78"/>
  <c r="G12" i="78"/>
  <c r="C87" i="78"/>
  <c r="C93" i="78"/>
  <c r="C84" i="78"/>
  <c r="C20" i="78"/>
  <c r="D15" i="78"/>
  <c r="G9" i="78"/>
  <c r="C18" i="78"/>
  <c r="G14" i="78"/>
  <c r="D21" i="78"/>
  <c r="D11" i="78"/>
  <c r="C95" i="78"/>
  <c r="C16" i="78"/>
  <c r="G11" i="78"/>
  <c r="D14" i="78"/>
  <c r="G13" i="78"/>
  <c r="C82" i="78"/>
  <c r="C19" i="78"/>
  <c r="D10" i="78"/>
  <c r="D18" i="78"/>
  <c r="C89" i="78"/>
  <c r="C94" i="78"/>
  <c r="C15" i="78"/>
  <c r="D16" i="78"/>
  <c r="C97" i="78"/>
  <c r="C92" i="78"/>
  <c r="D12" i="78"/>
  <c r="C90" i="78"/>
  <c r="C91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J98" i="89"/>
  <c r="AT231" i="89"/>
  <c r="AT230" i="89" s="1"/>
  <c r="L86" i="89"/>
  <c r="AW225" i="89" l="1"/>
  <c r="AY225" i="89" s="1"/>
  <c r="AU223" i="89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71" i="85"/>
  <c r="C7" i="85"/>
  <c r="C110" i="85"/>
  <c r="C38" i="85"/>
  <c r="C99" i="85"/>
  <c r="C108" i="85"/>
  <c r="C130" i="85"/>
  <c r="C155" i="85"/>
  <c r="C14" i="85"/>
  <c r="C158" i="85"/>
  <c r="C151" i="85"/>
  <c r="C165" i="85"/>
  <c r="C131" i="85"/>
  <c r="C113" i="85"/>
  <c r="C146" i="85"/>
  <c r="C104" i="85"/>
  <c r="C26" i="85"/>
  <c r="C18" i="85"/>
  <c r="C25" i="85"/>
  <c r="C101" i="85"/>
  <c r="C157" i="85"/>
  <c r="C90" i="85"/>
  <c r="C164" i="85"/>
  <c r="C145" i="85"/>
  <c r="C87" i="85"/>
  <c r="C162" i="85"/>
  <c r="C148" i="85"/>
  <c r="C139" i="85"/>
  <c r="C60" i="85"/>
  <c r="C134" i="85"/>
  <c r="C149" i="85"/>
  <c r="C98" i="85"/>
  <c r="C45" i="85"/>
  <c r="C152" i="85"/>
  <c r="C95" i="85"/>
  <c r="C12" i="85"/>
  <c r="C96" i="85"/>
  <c r="C8" i="85"/>
  <c r="C138" i="85"/>
  <c r="C97" i="85"/>
  <c r="C32" i="85"/>
  <c r="C141" i="85"/>
  <c r="C5" i="85"/>
  <c r="C6" i="85"/>
  <c r="C24" i="85"/>
  <c r="C20" i="85"/>
  <c r="C127" i="85"/>
  <c r="C44" i="85"/>
  <c r="C19" i="85"/>
  <c r="C112" i="85"/>
  <c r="C105" i="85"/>
  <c r="C143" i="85"/>
  <c r="C159" i="85"/>
  <c r="C144" i="85"/>
  <c r="C11" i="85"/>
  <c r="C39" i="85"/>
  <c r="C100" i="85"/>
  <c r="C107" i="85"/>
  <c r="C13" i="85"/>
  <c r="C114" i="85"/>
  <c r="C147" i="85"/>
  <c r="C37" i="85"/>
  <c r="C111" i="85"/>
  <c r="C15" i="85"/>
  <c r="C133" i="85"/>
  <c r="C17" i="85"/>
  <c r="C3" i="85"/>
  <c r="C4" i="85"/>
  <c r="C150" i="85"/>
  <c r="C21" i="85"/>
  <c r="C129" i="85"/>
  <c r="C16" i="85"/>
  <c r="C9" i="85"/>
  <c r="C103" i="85"/>
  <c r="C132" i="85"/>
  <c r="C117" i="85"/>
  <c r="C153" i="85"/>
  <c r="C163" i="85"/>
  <c r="C102" i="85"/>
  <c r="C154" i="85"/>
  <c r="C46" i="85"/>
  <c r="C36" i="85"/>
  <c r="C23" i="85"/>
  <c r="C167" i="85"/>
  <c r="C115" i="85"/>
  <c r="C73" i="85"/>
  <c r="C156" i="85"/>
  <c r="C119" i="85"/>
  <c r="C125" i="85"/>
  <c r="C10" i="85"/>
  <c r="C137" i="85"/>
  <c r="C57" i="85"/>
  <c r="C77" i="85"/>
  <c r="C109" i="85"/>
  <c r="C142" i="85"/>
  <c r="C140" i="85"/>
  <c r="C161" i="85"/>
  <c r="C106" i="85"/>
  <c r="C160" i="85"/>
  <c r="C123" i="85"/>
  <c r="C166" i="85"/>
  <c r="C121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5" i="85"/>
  <c r="C31" i="85"/>
  <c r="C136" i="85"/>
  <c r="C88" i="85"/>
  <c r="C22" i="85"/>
  <c r="C82" i="85"/>
  <c r="C70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U60" i="50" s="1"/>
  <c r="H13" i="25"/>
  <c r="U74" i="78"/>
  <c r="T74" i="78"/>
  <c r="M74" i="78"/>
  <c r="N74" i="78"/>
  <c r="Q74" i="78"/>
  <c r="C30" i="85"/>
  <c r="O74" i="78"/>
  <c r="R74" i="78"/>
  <c r="P74" i="78"/>
  <c r="I74" i="78"/>
  <c r="E74" i="78"/>
  <c r="F74" i="78"/>
  <c r="H74" i="78"/>
  <c r="C72" i="85"/>
  <c r="L74" i="78"/>
  <c r="J74" i="78"/>
  <c r="S74" i="78"/>
  <c r="D74" i="78"/>
  <c r="G74" i="78"/>
  <c r="K74" i="78"/>
  <c r="U59" i="50" l="1"/>
  <c r="D48" i="50" s="1"/>
  <c r="U58" i="50"/>
  <c r="D47" i="50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H73" i="78"/>
  <c r="D73" i="78"/>
  <c r="K73" i="78"/>
  <c r="P73" i="78"/>
  <c r="O73" i="78"/>
  <c r="E73" i="78"/>
  <c r="L73" i="78"/>
  <c r="Q73" i="78"/>
  <c r="T73" i="78"/>
  <c r="I73" i="78"/>
  <c r="F73" i="78"/>
  <c r="N73" i="78"/>
  <c r="R73" i="78"/>
  <c r="M73" i="78"/>
  <c r="S73" i="78"/>
  <c r="U73" i="78"/>
  <c r="G73" i="78"/>
  <c r="J73" i="78"/>
  <c r="Q186" i="49" l="1"/>
  <c r="P186" i="49" s="1"/>
  <c r="Q185" i="49"/>
  <c r="P185" i="49" s="1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O72" i="78"/>
  <c r="M72" i="78"/>
  <c r="K72" i="78"/>
  <c r="F72" i="78"/>
  <c r="E72" i="78"/>
  <c r="H72" i="78"/>
  <c r="L72" i="78"/>
  <c r="Q72" i="78"/>
  <c r="S72" i="78"/>
  <c r="T72" i="78"/>
  <c r="P72" i="78"/>
  <c r="J72" i="78"/>
  <c r="D72" i="78"/>
  <c r="U72" i="78"/>
  <c r="R72" i="78"/>
  <c r="I72" i="78"/>
  <c r="N72" i="78"/>
  <c r="G72" i="78"/>
  <c r="AN195" i="89" l="1"/>
  <c r="C73" i="64" s="1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T71" i="78"/>
  <c r="L71" i="78"/>
  <c r="K71" i="78"/>
  <c r="R71" i="78"/>
  <c r="M71" i="78"/>
  <c r="H71" i="78"/>
  <c r="P71" i="78"/>
  <c r="N71" i="78"/>
  <c r="O71" i="78"/>
  <c r="G71" i="78"/>
  <c r="J71" i="78"/>
  <c r="S71" i="78"/>
  <c r="U71" i="78"/>
  <c r="E71" i="78"/>
  <c r="F71" i="78"/>
  <c r="C55" i="85"/>
  <c r="I71" i="78"/>
  <c r="Q71" i="78"/>
  <c r="D71" i="78"/>
  <c r="AO195" i="89" l="1"/>
  <c r="AU271" i="89"/>
  <c r="L19" i="58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L70" i="78"/>
  <c r="U70" i="78"/>
  <c r="K70" i="78"/>
  <c r="O70" i="78"/>
  <c r="S70" i="78"/>
  <c r="Q70" i="78"/>
  <c r="H70" i="78"/>
  <c r="I70" i="78"/>
  <c r="D70" i="78"/>
  <c r="M70" i="78"/>
  <c r="J70" i="78"/>
  <c r="P70" i="78"/>
  <c r="G70" i="78"/>
  <c r="N70" i="78"/>
  <c r="T70" i="78"/>
  <c r="F70" i="78"/>
  <c r="E70" i="78"/>
  <c r="R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K69" i="78"/>
  <c r="S69" i="78"/>
  <c r="U69" i="78"/>
  <c r="P69" i="78"/>
  <c r="I69" i="78"/>
  <c r="D69" i="78"/>
  <c r="F69" i="78"/>
  <c r="L69" i="78"/>
  <c r="E69" i="78"/>
  <c r="O69" i="78"/>
  <c r="H69" i="78"/>
  <c r="M69" i="78"/>
  <c r="T69" i="78"/>
  <c r="J69" i="78"/>
  <c r="R69" i="78"/>
  <c r="N69" i="78"/>
  <c r="G69" i="78"/>
  <c r="Q69" i="78"/>
  <c r="E100" i="50" l="1"/>
  <c r="E92" i="50"/>
  <c r="E44" i="50"/>
  <c r="E36" i="50"/>
  <c r="E28" i="50"/>
  <c r="E42" i="50"/>
  <c r="E49" i="50"/>
  <c r="E94" i="50"/>
  <c r="E93" i="50"/>
  <c r="E37" i="50"/>
  <c r="E99" i="50"/>
  <c r="E51" i="50"/>
  <c r="E43" i="50"/>
  <c r="E35" i="50"/>
  <c r="E27" i="50"/>
  <c r="E50" i="50"/>
  <c r="E26" i="50"/>
  <c r="E57" i="50"/>
  <c r="E39" i="50"/>
  <c r="E46" i="50"/>
  <c r="E98" i="50"/>
  <c r="E97" i="50"/>
  <c r="E65" i="50"/>
  <c r="E17" i="50"/>
  <c r="E96" i="50"/>
  <c r="E64" i="50"/>
  <c r="E48" i="50"/>
  <c r="E32" i="50"/>
  <c r="E95" i="50"/>
  <c r="E71" i="50"/>
  <c r="E63" i="50"/>
  <c r="E47" i="50"/>
  <c r="E38" i="50"/>
  <c r="E45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H68" i="78"/>
  <c r="J68" i="78"/>
  <c r="T68" i="78"/>
  <c r="O68" i="78"/>
  <c r="I68" i="78"/>
  <c r="Q68" i="78"/>
  <c r="D68" i="78"/>
  <c r="G68" i="78"/>
  <c r="L68" i="78"/>
  <c r="K68" i="78"/>
  <c r="U68" i="78"/>
  <c r="E68" i="78"/>
  <c r="S68" i="78"/>
  <c r="R68" i="78"/>
  <c r="N68" i="78"/>
  <c r="F68" i="78"/>
  <c r="P68" i="78"/>
  <c r="M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F67" i="78"/>
  <c r="P67" i="78"/>
  <c r="R67" i="78"/>
  <c r="N67" i="78"/>
  <c r="D67" i="78"/>
  <c r="L67" i="78"/>
  <c r="O67" i="78"/>
  <c r="T67" i="78"/>
  <c r="E67" i="78"/>
  <c r="M67" i="78"/>
  <c r="Q67" i="78"/>
  <c r="K67" i="78"/>
  <c r="H67" i="78"/>
  <c r="U67" i="78"/>
  <c r="G67" i="78"/>
  <c r="J67" i="78"/>
  <c r="I67" i="78"/>
  <c r="S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M66" i="78"/>
  <c r="K66" i="78"/>
  <c r="P66" i="78"/>
  <c r="N66" i="78"/>
  <c r="H66" i="78"/>
  <c r="L66" i="78"/>
  <c r="Q66" i="78"/>
  <c r="R66" i="78"/>
  <c r="D66" i="78"/>
  <c r="G66" i="78"/>
  <c r="U66" i="78"/>
  <c r="F66" i="78"/>
  <c r="O66" i="78"/>
  <c r="S66" i="78"/>
  <c r="T66" i="78"/>
  <c r="J66" i="78"/>
  <c r="I66" i="78"/>
  <c r="E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R65" i="78"/>
  <c r="F65" i="78"/>
  <c r="L65" i="78"/>
  <c r="P65" i="78"/>
  <c r="Q65" i="78"/>
  <c r="H65" i="78"/>
  <c r="K65" i="78"/>
  <c r="T65" i="78"/>
  <c r="O65" i="78"/>
  <c r="M65" i="78"/>
  <c r="S65" i="78"/>
  <c r="J65" i="78"/>
  <c r="G65" i="78"/>
  <c r="D65" i="78"/>
  <c r="N65" i="78"/>
  <c r="E65" i="78"/>
  <c r="U65" i="78"/>
  <c r="I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J64" i="78"/>
  <c r="D64" i="78"/>
  <c r="E64" i="78"/>
  <c r="K64" i="78"/>
  <c r="T64" i="78"/>
  <c r="M64" i="78"/>
  <c r="I64" i="78"/>
  <c r="Q64" i="78"/>
  <c r="L64" i="78"/>
  <c r="O64" i="78"/>
  <c r="N64" i="78"/>
  <c r="S64" i="78"/>
  <c r="P64" i="78"/>
  <c r="R64" i="78"/>
  <c r="G64" i="78"/>
  <c r="U64" i="78"/>
  <c r="F64" i="78"/>
  <c r="H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M63" i="78"/>
  <c r="Q63" i="78"/>
  <c r="T63" i="78"/>
  <c r="E63" i="78"/>
  <c r="S63" i="78"/>
  <c r="R63" i="78"/>
  <c r="O63" i="78"/>
  <c r="P63" i="78"/>
  <c r="I63" i="78"/>
  <c r="K63" i="78"/>
  <c r="D63" i="78"/>
  <c r="U63" i="78"/>
  <c r="F63" i="78"/>
  <c r="N63" i="78"/>
  <c r="H63" i="78"/>
  <c r="J63" i="78"/>
  <c r="L63" i="78"/>
  <c r="G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D40" i="50" s="1"/>
  <c r="H25" i="25"/>
  <c r="H49" i="25" s="1"/>
  <c r="D29" i="50" s="1"/>
  <c r="E29" i="50" s="1"/>
  <c r="E40" i="50" l="1"/>
  <c r="AN179" i="89"/>
  <c r="C57" i="64" s="1"/>
  <c r="E9" i="50"/>
  <c r="V58" i="50"/>
  <c r="W58" i="50" s="1"/>
  <c r="AN177" i="89"/>
  <c r="C55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5" i="89" l="1"/>
  <c r="Q178" i="49"/>
  <c r="P178" i="49" s="1"/>
  <c r="AU253" i="89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F39" i="143" l="1"/>
  <c r="F16" i="143"/>
  <c r="AN170" i="89"/>
  <c r="AO170" i="89" s="1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AU246" i="89" l="1"/>
  <c r="F15" i="143"/>
  <c r="C48" i="64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E25" i="50" s="1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s="1"/>
  <c r="F23" i="143" l="1"/>
  <c r="Q171" i="49"/>
  <c r="P171" i="49" s="1"/>
  <c r="AO179" i="89" l="1"/>
  <c r="D19" i="137"/>
  <c r="E19" i="137" s="1"/>
  <c r="D34" i="50" s="1"/>
  <c r="E34" i="50" s="1"/>
  <c r="AU258" i="89" l="1"/>
  <c r="AN181" i="89"/>
  <c r="AO182" i="89"/>
  <c r="C60" i="64"/>
  <c r="Q172" i="49"/>
  <c r="P172" i="49" s="1"/>
  <c r="F7" i="123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E66" i="50" s="1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E13" i="50" s="1"/>
  <c r="D90" i="50"/>
  <c r="E90" i="50" s="1"/>
  <c r="D12" i="50"/>
  <c r="E12" i="50" s="1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D41" i="50" l="1"/>
  <c r="E77" i="50"/>
  <c r="AN202" i="89"/>
  <c r="E10" i="50"/>
  <c r="Q215" i="49"/>
  <c r="P215" i="49" s="1"/>
  <c r="Q217" i="49"/>
  <c r="P217" i="49" s="1"/>
  <c r="Q219" i="49"/>
  <c r="P219" i="49" s="1"/>
  <c r="Q150" i="49"/>
  <c r="P150" i="49" s="1"/>
  <c r="Q218" i="49"/>
  <c r="P218" i="49" s="1"/>
  <c r="Q151" i="49"/>
  <c r="P151" i="49" s="1"/>
  <c r="Q226" i="49"/>
  <c r="P226" i="49" s="1"/>
  <c r="Q216" i="49"/>
  <c r="P216" i="49" s="1"/>
  <c r="Q205" i="49"/>
  <c r="P205" i="49" s="1"/>
  <c r="V59" i="50"/>
  <c r="V60" i="50" s="1"/>
  <c r="AN199" i="89"/>
  <c r="AU275" i="89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O202" i="89" l="1"/>
  <c r="C80" i="64"/>
  <c r="D80" i="64" s="1"/>
  <c r="E80" i="64" s="1"/>
  <c r="AU278" i="89"/>
  <c r="AW278" i="89" s="1"/>
  <c r="AY278" i="89" s="1"/>
  <c r="W59" i="50"/>
  <c r="E41" i="50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AN188" i="89" l="1"/>
  <c r="Q179" i="49"/>
  <c r="P179" i="49" s="1"/>
  <c r="D7" i="50"/>
  <c r="D5" i="50" s="1"/>
  <c r="F57" i="143"/>
  <c r="D45" i="64"/>
  <c r="E45" i="64" s="1"/>
  <c r="AW243" i="89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C66" i="64" l="1"/>
  <c r="AU264" i="89"/>
  <c r="AO188" i="89"/>
  <c r="AN208" i="89"/>
  <c r="AY243" i="89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AW264" i="89" l="1"/>
  <c r="AU284" i="89"/>
  <c r="D66" i="64"/>
  <c r="E66" i="64" s="1"/>
  <c r="C44" i="64"/>
  <c r="D44" i="64" s="1"/>
  <c r="F34" i="143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Y264" i="89" l="1"/>
  <c r="AW284" i="89"/>
  <c r="L12" i="89" s="1"/>
  <c r="AO192" i="89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X225" i="89" s="1"/>
  <c r="AV219" i="89"/>
  <c r="AU238" i="89"/>
  <c r="U11" i="89"/>
  <c r="AX219" i="89" l="1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Q157" i="49" l="1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1489" i="85"/>
  <c r="C1663" i="85"/>
  <c r="C1754" i="85"/>
  <c r="C1210" i="85"/>
  <c r="C1243" i="85"/>
  <c r="C1773" i="85"/>
  <c r="C1571" i="85"/>
  <c r="C1908" i="85"/>
  <c r="C383" i="85"/>
  <c r="C490" i="85"/>
  <c r="C83" i="85"/>
  <c r="C1676" i="85"/>
  <c r="C1187" i="85"/>
  <c r="C595" i="85"/>
  <c r="C349" i="85"/>
  <c r="C670" i="85"/>
  <c r="C279" i="85"/>
  <c r="C585" i="85"/>
  <c r="C1517" i="85"/>
  <c r="C1407" i="85"/>
  <c r="C1458" i="85"/>
  <c r="C543" i="85"/>
  <c r="C464" i="85"/>
  <c r="C1597" i="85"/>
  <c r="C969" i="85"/>
  <c r="C197" i="85"/>
  <c r="C1339" i="85"/>
  <c r="C1769" i="85"/>
  <c r="C613" i="85"/>
  <c r="C1408" i="85"/>
  <c r="C739" i="85"/>
  <c r="C1582" i="85"/>
  <c r="C590" i="85"/>
  <c r="C1487" i="85"/>
  <c r="C174" i="85"/>
  <c r="C1936" i="85"/>
  <c r="C1117" i="85"/>
  <c r="C1045" i="85"/>
  <c r="C551" i="85"/>
  <c r="C1800" i="85"/>
  <c r="C318" i="85"/>
  <c r="C879" i="85"/>
  <c r="C1636" i="85"/>
  <c r="C1400" i="85"/>
  <c r="C971" i="85"/>
  <c r="C1910" i="85"/>
  <c r="C1030" i="85"/>
  <c r="C754" i="85"/>
  <c r="C398" i="85"/>
  <c r="C942" i="85"/>
  <c r="C1615" i="85"/>
  <c r="C1731" i="85"/>
  <c r="C1336" i="85"/>
  <c r="C126" i="85"/>
  <c r="C1801" i="85"/>
  <c r="C426" i="85"/>
  <c r="C611" i="85"/>
  <c r="C1120" i="85"/>
  <c r="C1326" i="85"/>
  <c r="C961" i="85"/>
  <c r="C1211" i="85"/>
  <c r="C1720" i="85"/>
  <c r="C708" i="85"/>
  <c r="C841" i="85"/>
  <c r="C663" i="85"/>
  <c r="C798" i="85"/>
  <c r="C1510" i="85"/>
  <c r="C561" i="85"/>
  <c r="C476" i="85"/>
  <c r="C1016" i="85"/>
  <c r="C1714" i="85"/>
  <c r="C1906" i="85"/>
  <c r="C1994" i="85"/>
  <c r="C1383" i="85"/>
  <c r="C1432" i="85"/>
  <c r="C510" i="85"/>
  <c r="C1351" i="85"/>
  <c r="C489" i="85"/>
  <c r="C875" i="85"/>
  <c r="C809" i="85"/>
  <c r="C1265" i="85"/>
  <c r="C1065" i="85"/>
  <c r="C839" i="85"/>
  <c r="C1103" i="85"/>
  <c r="C1870" i="85"/>
  <c r="C1332" i="85"/>
  <c r="C321" i="85"/>
  <c r="C76" i="85"/>
  <c r="C1980" i="85"/>
  <c r="C1033" i="85"/>
  <c r="C175" i="85"/>
  <c r="C881" i="85"/>
  <c r="C1429" i="85"/>
  <c r="C1608" i="85"/>
  <c r="C1188" i="85"/>
  <c r="C588" i="85"/>
  <c r="C1809" i="85"/>
  <c r="C675" i="85"/>
  <c r="C1865" i="85"/>
  <c r="C1387" i="85"/>
  <c r="C1572" i="85"/>
  <c r="C872" i="85"/>
  <c r="C1612" i="85"/>
  <c r="C1052" i="85"/>
  <c r="C377" i="85"/>
  <c r="C1531" i="85"/>
  <c r="C1780" i="85"/>
  <c r="C1025" i="85"/>
  <c r="C1058" i="85"/>
  <c r="C281" i="85"/>
  <c r="C1495" i="85"/>
  <c r="C54" i="85"/>
  <c r="C1274" i="85"/>
  <c r="C1492" i="85"/>
  <c r="C880" i="85"/>
  <c r="C632" i="85"/>
  <c r="C1496" i="85"/>
  <c r="C1239" i="85"/>
  <c r="C1318" i="85"/>
  <c r="C378" i="85"/>
  <c r="C1981" i="85"/>
  <c r="C249" i="85"/>
  <c r="C870" i="85"/>
  <c r="C976" i="85"/>
  <c r="C700" i="85"/>
  <c r="C1475" i="85"/>
  <c r="C1960" i="85"/>
  <c r="C1125" i="85"/>
  <c r="C900" i="85"/>
  <c r="C1937" i="85"/>
  <c r="C1283" i="85"/>
  <c r="C1138" i="85"/>
  <c r="C409" i="85"/>
  <c r="C1223" i="85"/>
  <c r="C1556" i="85"/>
  <c r="C1968" i="85"/>
  <c r="C1169" i="85"/>
  <c r="C1737" i="85"/>
  <c r="C1464" i="85"/>
  <c r="C80" i="85"/>
  <c r="C1127" i="85"/>
  <c r="C1752" i="85"/>
  <c r="C212" i="85"/>
  <c r="C776" i="85"/>
  <c r="C907" i="85"/>
  <c r="C779" i="85"/>
  <c r="C195" i="85"/>
  <c r="C629" i="85"/>
  <c r="C951" i="85"/>
  <c r="C1469" i="85"/>
  <c r="C606" i="85"/>
  <c r="C363" i="85"/>
  <c r="C384" i="85"/>
  <c r="C1479" i="85"/>
  <c r="C618" i="85"/>
  <c r="C1863" i="85"/>
  <c r="C391" i="85"/>
  <c r="C1811" i="85"/>
  <c r="C1909" i="85"/>
  <c r="C1507" i="85"/>
  <c r="C78" i="85"/>
  <c r="C1564" i="85"/>
  <c r="C1764" i="85"/>
  <c r="C512" i="85"/>
  <c r="C1516" i="85"/>
  <c r="C1926" i="85"/>
  <c r="C1042" i="85"/>
  <c r="C1442" i="85"/>
  <c r="C1448" i="85"/>
  <c r="C774" i="85"/>
  <c r="C634" i="85"/>
  <c r="C1009" i="85"/>
  <c r="C1528" i="85"/>
  <c r="C1911" i="85"/>
  <c r="C905" i="85"/>
  <c r="C546" i="85"/>
  <c r="C303" i="85"/>
  <c r="C1099" i="85"/>
  <c r="C1675" i="85"/>
  <c r="C1259" i="85"/>
  <c r="C448" i="85"/>
  <c r="C1079" i="85"/>
  <c r="C980" i="85"/>
  <c r="C441" i="85"/>
  <c r="C1454" i="85"/>
  <c r="C578" i="85"/>
  <c r="C449" i="85"/>
  <c r="C1386" i="85"/>
  <c r="C1173" i="85"/>
  <c r="C756" i="85"/>
  <c r="C846" i="85"/>
  <c r="C1829" i="85"/>
  <c r="C1329" i="85"/>
  <c r="C914" i="85"/>
  <c r="C911" i="85"/>
  <c r="C1460" i="85"/>
  <c r="C999" i="85"/>
  <c r="C810" i="85"/>
  <c r="C861" i="85"/>
  <c r="C1358" i="85"/>
  <c r="C1068" i="85"/>
  <c r="C417" i="85"/>
  <c r="C731" i="85"/>
  <c r="C472" i="85"/>
  <c r="C311" i="85"/>
  <c r="C1874" i="85"/>
  <c r="C1154" i="85"/>
  <c r="C269" i="85"/>
  <c r="C837" i="85"/>
  <c r="C1719" i="85"/>
  <c r="C838" i="85"/>
  <c r="C1856" i="85"/>
  <c r="C1787" i="85"/>
  <c r="C694" i="85"/>
  <c r="C803" i="85"/>
  <c r="C478" i="85"/>
  <c r="C707" i="85"/>
  <c r="C1907" i="85"/>
  <c r="C345" i="85"/>
  <c r="C1146" i="85"/>
  <c r="C1126" i="85"/>
  <c r="C1257" i="85"/>
  <c r="C1288" i="85"/>
  <c r="C744" i="85"/>
  <c r="C1660" i="85"/>
  <c r="C1054" i="85"/>
  <c r="C1621" i="85"/>
  <c r="C244" i="85"/>
  <c r="C468" i="85"/>
  <c r="C394" i="85"/>
  <c r="C1282" i="85"/>
  <c r="C584" i="85"/>
  <c r="C1035" i="85"/>
  <c r="C1509" i="85"/>
  <c r="C729" i="85"/>
  <c r="C1618" i="85"/>
  <c r="C704" i="85"/>
  <c r="C227" i="85"/>
  <c r="C1628" i="85"/>
  <c r="C463" i="85"/>
  <c r="C405" i="85"/>
  <c r="C1891" i="85"/>
  <c r="C972" i="85"/>
  <c r="C455" i="85"/>
  <c r="C825" i="85"/>
  <c r="C1904" i="85"/>
  <c r="C1366" i="85"/>
  <c r="C48" i="85"/>
  <c r="C913" i="85"/>
  <c r="C1116" i="85"/>
  <c r="C1308" i="85"/>
  <c r="C1634" i="85"/>
  <c r="C936" i="85"/>
  <c r="C637" i="85"/>
  <c r="C1473" i="85"/>
  <c r="C424" i="85"/>
  <c r="C2000" i="85"/>
  <c r="C1483" i="85"/>
  <c r="C485" i="85"/>
  <c r="C717" i="85"/>
  <c r="C1298" i="85"/>
  <c r="C483" i="85"/>
  <c r="C892" i="85"/>
  <c r="C1263" i="85"/>
  <c r="C1924" i="85"/>
  <c r="C1952" i="85"/>
  <c r="C1985" i="85"/>
  <c r="C1406" i="85"/>
  <c r="C545" i="85"/>
  <c r="C1423" i="85"/>
  <c r="C996" i="85"/>
  <c r="C1684" i="85"/>
  <c r="C1413" i="85"/>
  <c r="C1155" i="85"/>
  <c r="C621" i="85"/>
  <c r="C239" i="85"/>
  <c r="C51" i="85"/>
  <c r="C523" i="85"/>
  <c r="C1034" i="85"/>
  <c r="C648" i="85"/>
  <c r="C859" i="85"/>
  <c r="C1928" i="85"/>
  <c r="C1461" i="85"/>
  <c r="C1462" i="85"/>
  <c r="C1866" i="85"/>
  <c r="C1547" i="85"/>
  <c r="C1812" i="85"/>
  <c r="C222" i="85"/>
  <c r="C1833" i="85"/>
  <c r="C1322" i="85"/>
  <c r="C849" i="85"/>
  <c r="C990" i="85"/>
  <c r="C28" i="85"/>
  <c r="C1131" i="85"/>
  <c r="C1238" i="85"/>
  <c r="C1972" i="85"/>
  <c r="C763" i="85"/>
  <c r="C323" i="85"/>
  <c r="C1359" i="85"/>
  <c r="C232" i="85"/>
  <c r="C1341" i="85"/>
  <c r="C552" i="85"/>
  <c r="C685" i="85"/>
  <c r="C1611" i="85"/>
  <c r="C750" i="85"/>
  <c r="C210" i="85"/>
  <c r="C1467" i="85"/>
  <c r="C1695" i="85"/>
  <c r="C1261" i="85"/>
  <c r="C687" i="85"/>
  <c r="C553" i="85"/>
  <c r="C1081" i="85"/>
  <c r="C806" i="85"/>
  <c r="C790" i="85"/>
  <c r="C1661" i="85"/>
  <c r="C296" i="85"/>
  <c r="C81" i="85"/>
  <c r="C1401" i="85"/>
  <c r="C86" i="85"/>
  <c r="C664" i="85"/>
  <c r="C454" i="85"/>
  <c r="C745" i="85"/>
  <c r="C1160" i="85"/>
  <c r="C366" i="85"/>
  <c r="C1609" i="85"/>
  <c r="C826" i="85"/>
  <c r="C1984" i="85"/>
  <c r="C532" i="85"/>
  <c r="C224" i="85"/>
  <c r="C1538" i="85"/>
  <c r="C605" i="85"/>
  <c r="C1869" i="85"/>
  <c r="C845" i="85"/>
  <c r="C52" i="85"/>
  <c r="C194" i="85"/>
  <c r="C654" i="85"/>
  <c r="C245" i="85"/>
  <c r="C1739" i="85"/>
  <c r="C65" i="85"/>
  <c r="C92" i="85"/>
  <c r="C235" i="85"/>
  <c r="C491" i="85"/>
  <c r="C385" i="85"/>
  <c r="C673" i="85"/>
  <c r="C693" i="85"/>
  <c r="C238" i="85"/>
  <c r="C1581" i="85"/>
  <c r="C250" i="85"/>
  <c r="C453" i="85"/>
  <c r="C1931" i="85"/>
  <c r="C1599" i="85"/>
  <c r="C1821" i="85"/>
  <c r="C47" i="85"/>
  <c r="C1353" i="85"/>
  <c r="C1463" i="85"/>
  <c r="C963" i="85"/>
  <c r="C1357" i="85"/>
  <c r="C192" i="85"/>
  <c r="C120" i="85"/>
  <c r="C1693" i="85"/>
  <c r="C1271" i="85"/>
  <c r="C1619" i="85"/>
  <c r="C470" i="85"/>
  <c r="C1560" i="85"/>
  <c r="C698" i="85"/>
  <c r="C118" i="85"/>
  <c r="C1575" i="85"/>
  <c r="C284" i="85"/>
  <c r="C1791" i="85"/>
  <c r="C191" i="85"/>
  <c r="C1082" i="85"/>
  <c r="C842" i="85"/>
  <c r="C280" i="85"/>
  <c r="C1176" i="85"/>
  <c r="C361" i="85"/>
  <c r="C930" i="85"/>
  <c r="C738" i="85"/>
  <c r="C896" i="85"/>
  <c r="C1077" i="85"/>
  <c r="C719" i="85"/>
  <c r="C1096" i="85"/>
  <c r="C1164" i="85"/>
  <c r="C691" i="85"/>
  <c r="C460" i="85"/>
  <c r="C1944" i="85"/>
  <c r="C594" i="85"/>
  <c r="C1247" i="85"/>
  <c r="C1950" i="85"/>
  <c r="C1683" i="85"/>
  <c r="C283" i="85"/>
  <c r="C910" i="85"/>
  <c r="C34" i="85"/>
  <c r="C1121" i="85"/>
  <c r="C1588" i="85"/>
  <c r="C439" i="85"/>
  <c r="C459" i="85"/>
  <c r="C29" i="85"/>
  <c r="C1959" i="85"/>
  <c r="C674" i="85"/>
  <c r="C1226" i="85"/>
  <c r="C1133" i="85"/>
  <c r="C541" i="85"/>
  <c r="C1107" i="85"/>
  <c r="C636" i="85"/>
  <c r="C860" i="85"/>
  <c r="C1966" i="85"/>
  <c r="C1587" i="85"/>
  <c r="C1778" i="85"/>
  <c r="C768" i="85"/>
  <c r="C730" i="85"/>
  <c r="C828" i="85"/>
  <c r="C1028" i="85"/>
  <c r="C185" i="85"/>
  <c r="C338" i="85"/>
  <c r="C1828" i="85"/>
  <c r="C420" i="85"/>
  <c r="C1938" i="85"/>
  <c r="C307" i="85"/>
  <c r="C570" i="85"/>
  <c r="C1882" i="85"/>
  <c r="C1899" i="85"/>
  <c r="C229" i="85"/>
  <c r="C1562" i="85"/>
  <c r="C1110" i="85"/>
  <c r="C1031" i="85"/>
  <c r="C615" i="85"/>
  <c r="C344" i="85"/>
  <c r="C1592" i="85"/>
  <c r="C709" i="85"/>
  <c r="C199" i="85"/>
  <c r="C609" i="85"/>
  <c r="C716" i="85"/>
  <c r="C597" i="85"/>
  <c r="C933" i="85"/>
  <c r="C612" i="85"/>
  <c r="C1845" i="85"/>
  <c r="C336" i="85"/>
  <c r="C1955" i="85"/>
  <c r="C1534" i="85"/>
  <c r="C1280" i="85"/>
  <c r="C1204" i="85"/>
  <c r="C372" i="85"/>
  <c r="C1391" i="85"/>
  <c r="C1071" i="85"/>
  <c r="C923" i="85"/>
  <c r="C1573" i="85"/>
  <c r="C1698" i="85"/>
  <c r="C182" i="85"/>
  <c r="C660" i="85"/>
  <c r="C484" i="85"/>
  <c r="C214" i="85"/>
  <c r="C1605" i="85"/>
  <c r="C885" i="85"/>
  <c r="C1246" i="85"/>
  <c r="C1736" i="85"/>
  <c r="C207" i="85"/>
  <c r="C760" i="85"/>
  <c r="C1023" i="85"/>
  <c r="C653" i="85"/>
  <c r="C456" i="85"/>
  <c r="C909" i="85"/>
  <c r="C1633" i="85"/>
  <c r="C1897" i="85"/>
  <c r="C656" i="85"/>
  <c r="C1880" i="85"/>
  <c r="C1029" i="85"/>
  <c r="C1360" i="85"/>
  <c r="C365" i="85"/>
  <c r="C1900" i="85"/>
  <c r="C1702" i="85"/>
  <c r="C1468" i="85"/>
  <c r="C782" i="85"/>
  <c r="C237" i="85"/>
  <c r="C375" i="85"/>
  <c r="C1794" i="85"/>
  <c r="C607" i="85"/>
  <c r="C1156" i="85"/>
  <c r="C362" i="85"/>
  <c r="C350" i="85"/>
  <c r="C419" i="85"/>
  <c r="C1554" i="85"/>
  <c r="C1270" i="85"/>
  <c r="C1750" i="85"/>
  <c r="C1192" i="85"/>
  <c r="C257" i="85"/>
  <c r="C359" i="85"/>
  <c r="C1279" i="85"/>
  <c r="C415" i="85"/>
  <c r="C1202" i="85"/>
  <c r="C480" i="85"/>
  <c r="C1347" i="85"/>
  <c r="C1200" i="85"/>
  <c r="C1849" i="85"/>
  <c r="C1973" i="85"/>
  <c r="C680" i="85"/>
  <c r="C68" i="85"/>
  <c r="C1738" i="85"/>
  <c r="C1577" i="85"/>
  <c r="C252" i="85"/>
  <c r="C559" i="85"/>
  <c r="C571" i="85"/>
  <c r="C519" i="85"/>
  <c r="C954" i="85"/>
  <c r="C50" i="85"/>
  <c r="C1208" i="85"/>
  <c r="C1557" i="85"/>
  <c r="C1993" i="85"/>
  <c r="C994" i="85"/>
  <c r="C208" i="85"/>
  <c r="C1799" i="85"/>
  <c r="C53" i="85"/>
  <c r="C1242" i="85"/>
  <c r="C1338" i="85"/>
  <c r="C816" i="85"/>
  <c r="C801" i="85"/>
  <c r="C952" i="85"/>
  <c r="C458" i="85"/>
  <c r="C511" i="85"/>
  <c r="C289" i="85"/>
  <c r="C1161" i="85"/>
  <c r="C1083" i="85"/>
  <c r="C1858" i="85"/>
  <c r="C179" i="85"/>
  <c r="C1508" i="85"/>
  <c r="C435" i="85"/>
  <c r="C753" i="85"/>
  <c r="C1696" i="85"/>
  <c r="C1392" i="85"/>
  <c r="C1749" i="85"/>
  <c r="C1315" i="85"/>
  <c r="C601" i="85"/>
  <c r="C1836" i="85"/>
  <c r="C1395" i="85"/>
  <c r="C1883" i="85"/>
  <c r="C1253" i="85"/>
  <c r="C1095" i="85"/>
  <c r="C1703" i="85"/>
  <c r="C1335" i="85"/>
  <c r="C650" i="85"/>
  <c r="C1319" i="85"/>
  <c r="C292" i="85"/>
  <c r="C1956" i="85"/>
  <c r="C1505" i="85"/>
  <c r="C496" i="85"/>
  <c r="C282" i="85"/>
  <c r="C412" i="85"/>
  <c r="C1297" i="85"/>
  <c r="C1443" i="85"/>
  <c r="C1267" i="85"/>
  <c r="C1506" i="85"/>
  <c r="C170" i="85"/>
  <c r="C1217" i="85"/>
  <c r="C180" i="85"/>
  <c r="C734" i="85"/>
  <c r="C847" i="85"/>
  <c r="C324" i="85"/>
  <c r="C1225" i="85"/>
  <c r="C58" i="85"/>
  <c r="C347" i="85"/>
  <c r="C1837" i="85"/>
  <c r="C931" i="85"/>
  <c r="C1590" i="85"/>
  <c r="C1792" i="85"/>
  <c r="C1036" i="85"/>
  <c r="C1704" i="85"/>
  <c r="C997" i="85"/>
  <c r="C832" i="85"/>
  <c r="C1198" i="85"/>
  <c r="C805" i="85"/>
  <c r="C213" i="85"/>
  <c r="C635" i="85"/>
  <c r="C1236" i="85"/>
  <c r="C122" i="85"/>
  <c r="C1521" i="85"/>
  <c r="C829" i="85"/>
  <c r="C755" i="85"/>
  <c r="C898" i="85"/>
  <c r="C1771" i="85"/>
  <c r="C1755" i="85"/>
  <c r="C1969" i="85"/>
  <c r="C1172" i="85"/>
  <c r="C1576" i="85"/>
  <c r="C474" i="85"/>
  <c r="C1519" i="85"/>
  <c r="C1543" i="85"/>
  <c r="C1718" i="85"/>
  <c r="C1558" i="85"/>
  <c r="C528" i="85"/>
  <c r="C780" i="85"/>
  <c r="C1398" i="85"/>
  <c r="C1399" i="85"/>
  <c r="C49" i="85"/>
  <c r="C1067" i="85"/>
  <c r="C1346" i="85"/>
  <c r="C1979" i="85"/>
  <c r="C1418" i="85"/>
  <c r="C1722" i="85"/>
  <c r="C582" i="85"/>
  <c r="C189" i="85"/>
  <c r="C400" i="85"/>
  <c r="C33" i="85"/>
  <c r="C1111" i="85"/>
  <c r="C867" i="85"/>
  <c r="C759" i="85"/>
  <c r="C1559" i="85"/>
  <c r="C962" i="85"/>
  <c r="C1745" i="85"/>
  <c r="C587" i="85"/>
  <c r="C1813" i="85"/>
  <c r="C539" i="85"/>
  <c r="C1600" i="85"/>
  <c r="C260" i="85"/>
  <c r="C1940" i="85"/>
  <c r="C91" i="85"/>
  <c r="C320" i="85"/>
  <c r="C747" i="85"/>
  <c r="C1631" i="85"/>
  <c r="C1565" i="85"/>
  <c r="C751" i="85"/>
  <c r="C921" i="85"/>
  <c r="C368" i="85"/>
  <c r="C360" i="85"/>
  <c r="C833" i="85"/>
  <c r="C1186" i="85"/>
  <c r="C697" i="85"/>
  <c r="C757" i="85"/>
  <c r="C268" i="85"/>
  <c r="C1260" i="85"/>
  <c r="C1093" i="85"/>
  <c r="C1529" i="85"/>
  <c r="C475" i="85"/>
  <c r="C1802" i="85"/>
  <c r="C404" i="85"/>
  <c r="C1452" i="85"/>
  <c r="C625" i="85"/>
  <c r="C1815" i="85"/>
  <c r="C1168" i="85"/>
  <c r="C1643" i="85"/>
  <c r="C241" i="85"/>
  <c r="C917" i="85"/>
  <c r="C343" i="85"/>
  <c r="C276" i="85"/>
  <c r="C788" i="85"/>
  <c r="C1893" i="85"/>
  <c r="C904" i="85"/>
  <c r="C196" i="85"/>
  <c r="C732" i="85"/>
  <c r="C603" i="85"/>
  <c r="C995" i="85"/>
  <c r="C1477" i="85"/>
  <c r="C1040" i="85"/>
  <c r="C583" i="85"/>
  <c r="C477" i="85"/>
  <c r="C1074" i="85"/>
  <c r="C1493" i="85"/>
  <c r="C1006" i="85"/>
  <c r="C1482" i="85"/>
  <c r="C1724" i="85"/>
  <c r="C1375" i="85"/>
  <c r="C331" i="85"/>
  <c r="C1728" i="85"/>
  <c r="C1650" i="85"/>
  <c r="C1343" i="85"/>
  <c r="C1094" i="85"/>
  <c r="C236" i="85"/>
  <c r="C1049" i="85"/>
  <c r="C626" i="85"/>
  <c r="C652" i="85"/>
  <c r="C1450" i="85"/>
  <c r="C1143" i="85"/>
  <c r="C1786" i="85"/>
  <c r="C1091" i="85"/>
  <c r="C354" i="85"/>
  <c r="C226" i="85"/>
  <c r="C1370" i="85"/>
  <c r="C886" i="85"/>
  <c r="C399" i="85"/>
  <c r="C1579" i="85"/>
  <c r="C1153" i="85"/>
  <c r="C1797" i="85"/>
  <c r="C388" i="85"/>
  <c r="C1157" i="85"/>
  <c r="C1789" i="85"/>
  <c r="C1180" i="85"/>
  <c r="C1216" i="85"/>
  <c r="C620" i="85"/>
  <c r="C1453" i="85"/>
  <c r="C647" i="85"/>
  <c r="C516" i="85"/>
  <c r="C1861" i="85"/>
  <c r="C1838" i="85"/>
  <c r="C290" i="85"/>
  <c r="C766" i="85"/>
  <c r="C713" i="85"/>
  <c r="C1149" i="85"/>
  <c r="C1652" i="85"/>
  <c r="C1354" i="85"/>
  <c r="C1943" i="85"/>
  <c r="C1723" i="85"/>
  <c r="C1775" i="85"/>
  <c r="C1672" i="85"/>
  <c r="C1228" i="85"/>
  <c r="C565" i="85"/>
  <c r="C1846" i="85"/>
  <c r="C1826" i="85"/>
  <c r="C1767" i="85"/>
  <c r="C407" i="85"/>
  <c r="C1379" i="85"/>
  <c r="C1132" i="85"/>
  <c r="C882" i="85"/>
  <c r="C1252" i="85"/>
  <c r="C1500" i="85"/>
  <c r="C1194" i="85"/>
  <c r="C1294" i="85"/>
  <c r="C1100" i="85"/>
  <c r="C598" i="85"/>
  <c r="C1051" i="85"/>
  <c r="C1090" i="85"/>
  <c r="C1272" i="85"/>
  <c r="C467" i="85"/>
  <c r="C1527" i="85"/>
  <c r="C643" i="85"/>
  <c r="C348" i="85"/>
  <c r="C1686" i="85"/>
  <c r="C793" i="85"/>
  <c r="C1710" i="85"/>
  <c r="C1930" i="85"/>
  <c r="C1352" i="85"/>
  <c r="C786" i="85"/>
  <c r="C1895" i="85"/>
  <c r="C920" i="85"/>
  <c r="C935" i="85"/>
  <c r="C1436" i="85"/>
  <c r="C436" i="85"/>
  <c r="C1817" i="85"/>
  <c r="C535" i="85"/>
  <c r="C901" i="85"/>
  <c r="C1251" i="85"/>
  <c r="C651" i="85"/>
  <c r="C977" i="85"/>
  <c r="C617" i="85"/>
  <c r="C748" i="85"/>
  <c r="C1402" i="85"/>
  <c r="C534" i="85"/>
  <c r="C1430" i="85"/>
  <c r="C781" i="85"/>
  <c r="C521" i="85"/>
  <c r="C515" i="85"/>
  <c r="C1159" i="85"/>
  <c r="C1687" i="85"/>
  <c r="C1177" i="85"/>
  <c r="C965" i="85"/>
  <c r="C1290" i="85"/>
  <c r="C785" i="85"/>
  <c r="C614" i="85"/>
  <c r="C522" i="85"/>
  <c r="C1109" i="85"/>
  <c r="C353" i="85"/>
  <c r="C645" i="85"/>
  <c r="C1037" i="85"/>
  <c r="C416" i="85"/>
  <c r="C1879" i="85"/>
  <c r="C1205" i="85"/>
  <c r="C1151" i="85"/>
  <c r="C471" i="85"/>
  <c r="C1378" i="85"/>
  <c r="C1804" i="85"/>
  <c r="C662" i="85"/>
  <c r="C1647" i="85"/>
  <c r="C1848" i="85"/>
  <c r="C864" i="85"/>
  <c r="C1957" i="85"/>
  <c r="C524" i="85"/>
  <c r="C1038" i="85"/>
  <c r="C1915" i="85"/>
  <c r="C1841" i="85"/>
  <c r="C215" i="85"/>
  <c r="C94" i="85"/>
  <c r="C193" i="85"/>
  <c r="C1484" i="85"/>
  <c r="C1872" i="85"/>
  <c r="C746" i="85"/>
  <c r="C1975" i="85"/>
  <c r="C314" i="85"/>
  <c r="C1123" i="85"/>
  <c r="C403" i="85"/>
  <c r="C1481" i="85"/>
  <c r="C908" i="85"/>
  <c r="C1772" i="85"/>
  <c r="C1293" i="85"/>
  <c r="C695" i="85"/>
  <c r="C871" i="85"/>
  <c r="C937" i="85"/>
  <c r="C1323" i="85"/>
  <c r="C1645" i="85"/>
  <c r="C1920" i="85"/>
  <c r="C1563" i="85"/>
  <c r="C843" i="85"/>
  <c r="C967" i="85"/>
  <c r="C775" i="85"/>
  <c r="C772" i="85"/>
  <c r="C979" i="85"/>
  <c r="C1617" i="85"/>
  <c r="C1635" i="85"/>
  <c r="C1005" i="85"/>
  <c r="C382" i="85"/>
  <c r="C503" i="85"/>
  <c r="C1688" i="85"/>
  <c r="C916" i="85"/>
  <c r="C1193" i="85"/>
  <c r="C517" i="85"/>
  <c r="C498" i="85"/>
  <c r="C1414" i="85"/>
  <c r="C1232" i="85"/>
  <c r="C929" i="85"/>
  <c r="C1435" i="85"/>
  <c r="C1410" i="85"/>
  <c r="C487" i="85"/>
  <c r="C983" i="85"/>
  <c r="C308" i="85"/>
  <c r="C1524" i="85"/>
  <c r="C1184" i="85"/>
  <c r="C1758" i="85"/>
  <c r="C333" i="85"/>
  <c r="C433" i="85"/>
  <c r="C1602" i="85"/>
  <c r="C669" i="85"/>
  <c r="C683" i="85"/>
  <c r="C1203" i="85"/>
  <c r="C799" i="85"/>
  <c r="C1690" i="85"/>
  <c r="C1613" i="85"/>
  <c r="C536" i="85"/>
  <c r="C557" i="85"/>
  <c r="C1024" i="85"/>
  <c r="C1019" i="85"/>
  <c r="C934" i="85"/>
  <c r="C1933" i="85"/>
  <c r="C830" i="85"/>
  <c r="C533" i="85"/>
  <c r="C203" i="85"/>
  <c r="C987" i="85"/>
  <c r="C981" i="85"/>
  <c r="C1886" i="85"/>
  <c r="C580" i="85"/>
  <c r="C381" i="85"/>
  <c r="C518" i="85"/>
  <c r="C1945" i="85"/>
  <c r="C1798" i="85"/>
  <c r="C718" i="85"/>
  <c r="C1324" i="85"/>
  <c r="C1885" i="85"/>
  <c r="C1349" i="85"/>
  <c r="C1586" i="85"/>
  <c r="C665" i="85"/>
  <c r="C959" i="85"/>
  <c r="C1451" i="85"/>
  <c r="C624" i="85"/>
  <c r="C1961" i="85"/>
  <c r="C1476" i="85"/>
  <c r="C176" i="85"/>
  <c r="C1002" i="85"/>
  <c r="C1130" i="85"/>
  <c r="C272" i="85"/>
  <c r="C1417" i="85"/>
  <c r="C278" i="85"/>
  <c r="C628" i="85"/>
  <c r="C1721" i="85"/>
  <c r="C1916" i="85"/>
  <c r="C1733" i="85"/>
  <c r="C508" i="85"/>
  <c r="C1128" i="85"/>
  <c r="C1806" i="85"/>
  <c r="C462" i="85"/>
  <c r="C1601" i="85"/>
  <c r="C1962" i="85"/>
  <c r="C1396" i="85"/>
  <c r="C198" i="85"/>
  <c r="C1266" i="85"/>
  <c r="C430" i="85"/>
  <c r="C869" i="85"/>
  <c r="C681" i="85"/>
  <c r="C978" i="85"/>
  <c r="C792" i="85"/>
  <c r="C1515" i="85"/>
  <c r="C1584" i="85"/>
  <c r="C998" i="85"/>
  <c r="C1076" i="85"/>
  <c r="C1644" i="85"/>
  <c r="C1685" i="85"/>
  <c r="C1268" i="85"/>
  <c r="C386" i="85"/>
  <c r="C834" i="85"/>
  <c r="C1765" i="85"/>
  <c r="C884" i="85"/>
  <c r="C1369" i="85"/>
  <c r="C1084" i="85"/>
  <c r="C1546" i="85"/>
  <c r="C992" i="85"/>
  <c r="C43" i="85"/>
  <c r="C939" i="85"/>
  <c r="C1312" i="85"/>
  <c r="C220" i="85"/>
  <c r="C1796" i="85"/>
  <c r="C563" i="85"/>
  <c r="C1759" i="85"/>
  <c r="C1713" i="85"/>
  <c r="C769" i="85"/>
  <c r="C1892" i="85"/>
  <c r="C1876" i="85"/>
  <c r="C1741" i="85"/>
  <c r="C1540" i="85"/>
  <c r="C686" i="85"/>
  <c r="C1215" i="85"/>
  <c r="C1316" i="85"/>
  <c r="C1427" i="85"/>
  <c r="C531" i="85"/>
  <c r="C897" i="85"/>
  <c r="C573" i="85"/>
  <c r="C440" i="85"/>
  <c r="C1740" i="85"/>
  <c r="C328" i="85"/>
  <c r="C1372" i="85"/>
  <c r="C688" i="85"/>
  <c r="C1658" i="85"/>
  <c r="C982" i="85"/>
  <c r="C974" i="85"/>
  <c r="C171" i="85"/>
  <c r="C993" i="85"/>
  <c r="C1653" i="85"/>
  <c r="C742" i="85"/>
  <c r="C1171" i="85"/>
  <c r="C568" i="85"/>
  <c r="C1490" i="85"/>
  <c r="C696" i="85"/>
  <c r="C211" i="85"/>
  <c r="C1832" i="85"/>
  <c r="C1286" i="85"/>
  <c r="C202" i="85"/>
  <c r="C1542" i="85"/>
  <c r="C956" i="85"/>
  <c r="C1664" i="85"/>
  <c r="C608" i="85"/>
  <c r="C1129" i="85"/>
  <c r="C1064" i="85"/>
  <c r="C1998" i="85"/>
  <c r="C689" i="85"/>
  <c r="C1337" i="85"/>
  <c r="C445" i="85"/>
  <c r="C40" i="85"/>
  <c r="C1995" i="85"/>
  <c r="C1604" i="85"/>
  <c r="C461" i="85"/>
  <c r="C560" i="85"/>
  <c r="C1234" i="85"/>
  <c r="C218" i="85"/>
  <c r="C1851" i="85"/>
  <c r="C1549" i="85"/>
  <c r="C1296" i="85"/>
  <c r="C410" i="85"/>
  <c r="C616" i="85"/>
  <c r="C1843" i="85"/>
  <c r="C201" i="85"/>
  <c r="C710" i="85"/>
  <c r="C1923" i="85"/>
  <c r="C858" i="85"/>
  <c r="C1092" i="85"/>
  <c r="C1705" i="85"/>
  <c r="C1284" i="85"/>
  <c r="C1356" i="85"/>
  <c r="C1340" i="85"/>
  <c r="C332" i="85"/>
  <c r="C1598" i="85"/>
  <c r="C1541" i="85"/>
  <c r="C228" i="85"/>
  <c r="C1195" i="85"/>
  <c r="C1275" i="85"/>
  <c r="C1098" i="85"/>
  <c r="C1857" i="85"/>
  <c r="C1145" i="85"/>
  <c r="C1066" i="85"/>
  <c r="C1898" i="85"/>
  <c r="C1020" i="85"/>
  <c r="C1681" i="85"/>
  <c r="C1070" i="85"/>
  <c r="C1727" i="85"/>
  <c r="C1175" i="85"/>
  <c r="C1269" i="85"/>
  <c r="C1774" i="85"/>
  <c r="C1669" i="85"/>
  <c r="C428" i="85"/>
  <c r="C304" i="85"/>
  <c r="C327" i="85"/>
  <c r="C1853" i="85"/>
  <c r="C1715" i="85"/>
  <c r="C1903" i="85"/>
  <c r="C1770" i="85"/>
  <c r="C1839" i="85"/>
  <c r="C169" i="85"/>
  <c r="C644" i="85"/>
  <c r="C649" i="85"/>
  <c r="C1060" i="85"/>
  <c r="C639" i="85"/>
  <c r="C1627" i="85"/>
  <c r="C1901" i="85"/>
  <c r="C1522" i="85"/>
  <c r="C1756" i="85"/>
  <c r="C124" i="85"/>
  <c r="C633" i="85"/>
  <c r="C1566" i="85"/>
  <c r="C715" i="85"/>
  <c r="C319" i="85"/>
  <c r="C855" i="85"/>
  <c r="C1730" i="85"/>
  <c r="C677" i="85"/>
  <c r="C804" i="85"/>
  <c r="C762" i="85"/>
  <c r="C1376" i="85"/>
  <c r="C479" i="85"/>
  <c r="C1689" i="85"/>
  <c r="C1742" i="85"/>
  <c r="C569" i="85"/>
  <c r="C1946" i="85"/>
  <c r="C1124" i="85"/>
  <c r="C778" i="85"/>
  <c r="C1657" i="85"/>
  <c r="C1011" i="85"/>
  <c r="C225" i="85"/>
  <c r="C1309" i="85"/>
  <c r="C1701" i="85"/>
  <c r="C538" i="85"/>
  <c r="C1342" i="85"/>
  <c r="C1982" i="85"/>
  <c r="C1278" i="85"/>
  <c r="C1747" i="85"/>
  <c r="C1951" i="85"/>
  <c r="C67" i="85"/>
  <c r="C315" i="85"/>
  <c r="C765" i="85"/>
  <c r="C1814" i="85"/>
  <c r="C1777" i="85"/>
  <c r="C267" i="85"/>
  <c r="C219" i="85"/>
  <c r="C1971" i="85"/>
  <c r="C722" i="85"/>
  <c r="C310" i="85"/>
  <c r="C1213" i="85"/>
  <c r="C1494" i="85"/>
  <c r="C1039" i="85"/>
  <c r="C1757" i="85"/>
  <c r="C1830" i="85"/>
  <c r="C1632" i="85"/>
  <c r="C835" i="85"/>
  <c r="C548" i="85"/>
  <c r="C1078" i="85"/>
  <c r="C1583" i="85"/>
  <c r="C434" i="85"/>
  <c r="C985" i="85"/>
  <c r="C1570" i="85"/>
  <c r="C1585" i="85"/>
  <c r="C943" i="85"/>
  <c r="C1992" i="85"/>
  <c r="C465" i="85"/>
  <c r="C379" i="85"/>
  <c r="C1822" i="85"/>
  <c r="C1113" i="85"/>
  <c r="C1913" i="85"/>
  <c r="C1466" i="85"/>
  <c r="C1761" i="85"/>
  <c r="C844" i="85"/>
  <c r="C285" i="85"/>
  <c r="C1207" i="85"/>
  <c r="C852" i="85"/>
  <c r="C371" i="85"/>
  <c r="C602" i="85"/>
  <c r="C1735" i="85"/>
  <c r="C682" i="85"/>
  <c r="C1860" i="85"/>
  <c r="C1623" i="85"/>
  <c r="C1671" i="85"/>
  <c r="C946" i="85"/>
  <c r="C1371" i="85"/>
  <c r="C442" i="85"/>
  <c r="C233" i="85"/>
  <c r="C1674" i="85"/>
  <c r="C1692" i="85"/>
  <c r="C1240" i="85"/>
  <c r="C1480" i="85"/>
  <c r="C1699" i="85"/>
  <c r="C1291" i="85"/>
  <c r="C821" i="85"/>
  <c r="C1673" i="85"/>
  <c r="C1032" i="85"/>
  <c r="C418" i="85"/>
  <c r="C1827" i="85"/>
  <c r="C1954" i="85"/>
  <c r="C61" i="85"/>
  <c r="C1917" i="85"/>
  <c r="C547" i="85"/>
  <c r="C431" i="85"/>
  <c r="C1914" i="85"/>
  <c r="C975" i="85"/>
  <c r="C1678" i="85"/>
  <c r="C1847" i="85"/>
  <c r="C330" i="85"/>
  <c r="C1990" i="85"/>
  <c r="C1808" i="85"/>
  <c r="C926" i="85"/>
  <c r="C1072" i="85"/>
  <c r="C1015" i="85"/>
  <c r="C1782" i="85"/>
  <c r="C1790" i="85"/>
  <c r="C950" i="85"/>
  <c r="C899" i="85"/>
  <c r="C243" i="85"/>
  <c r="C1305" i="85"/>
  <c r="C437" i="85"/>
  <c r="C1746" i="85"/>
  <c r="C1700" i="85"/>
  <c r="C752" i="85"/>
  <c r="C1953" i="85"/>
  <c r="C302" i="85"/>
  <c r="C676" i="85"/>
  <c r="C355" i="85"/>
  <c r="C1000" i="85"/>
  <c r="C482" i="85"/>
  <c r="C1299" i="85"/>
  <c r="C1996" i="85"/>
  <c r="C513" i="85"/>
  <c r="C288" i="85"/>
  <c r="C1967" i="85"/>
  <c r="C1222" i="85"/>
  <c r="C341" i="85"/>
  <c r="C1569" i="85"/>
  <c r="C1666" i="85"/>
  <c r="C1637" i="85"/>
  <c r="C1805" i="85"/>
  <c r="C554" i="85"/>
  <c r="C1059" i="85"/>
  <c r="C1625" i="85"/>
  <c r="C1567" i="85"/>
  <c r="C408" i="85"/>
  <c r="C1449" i="85"/>
  <c r="C1706" i="85"/>
  <c r="C1434" i="85"/>
  <c r="C1144" i="85"/>
  <c r="C1614" i="85"/>
  <c r="C301" i="85"/>
  <c r="C1859" i="85"/>
  <c r="C504" i="85"/>
  <c r="C306" i="85"/>
  <c r="C271" i="85"/>
  <c r="C1624" i="85"/>
  <c r="C1455" i="85"/>
  <c r="C1365" i="85"/>
  <c r="C726" i="85"/>
  <c r="C814" i="85"/>
  <c r="C1781" i="85"/>
  <c r="C890" i="85"/>
  <c r="C364" i="85"/>
  <c r="C758" i="85"/>
  <c r="C646" i="85"/>
  <c r="C1622" i="85"/>
  <c r="C1364" i="85"/>
  <c r="C1021" i="85"/>
  <c r="C495" i="85"/>
  <c r="C178" i="85"/>
  <c r="C223" i="85"/>
  <c r="C1532" i="85"/>
  <c r="C1018" i="85"/>
  <c r="C469" i="85"/>
  <c r="C1152" i="85"/>
  <c r="C181" i="85"/>
  <c r="C1303" i="85"/>
  <c r="C1820" i="85"/>
  <c r="C887" i="85"/>
  <c r="C1511" i="85"/>
  <c r="C294" i="85"/>
  <c r="C604" i="85"/>
  <c r="C1241" i="85"/>
  <c r="C1630" i="85"/>
  <c r="C64" i="85"/>
  <c r="C1665" i="85"/>
  <c r="C506" i="85"/>
  <c r="C425" i="85"/>
  <c r="C1963" i="85"/>
  <c r="C1373" i="85"/>
  <c r="C1310" i="85"/>
  <c r="C1262" i="85"/>
  <c r="C1409" i="85"/>
  <c r="C1446" i="85"/>
  <c r="C1244" i="85"/>
  <c r="C1668" i="85"/>
  <c r="C1991" i="85"/>
  <c r="C200" i="85"/>
  <c r="C1394" i="85"/>
  <c r="C1185" i="85"/>
  <c r="C1380" i="85"/>
  <c r="C1367" i="85"/>
  <c r="C733" i="85"/>
  <c r="C932" i="85"/>
  <c r="C261" i="85"/>
  <c r="C256" i="85"/>
  <c r="C724" i="85"/>
  <c r="C706" i="85"/>
  <c r="C1941" i="85"/>
  <c r="C429" i="85"/>
  <c r="C529" i="85"/>
  <c r="C1927" i="85"/>
  <c r="C1561" i="85"/>
  <c r="C1405" i="85"/>
  <c r="C893" i="85"/>
  <c r="C556" i="85"/>
  <c r="C1708" i="85"/>
  <c r="C1607" i="85"/>
  <c r="C848" i="85"/>
  <c r="C619" i="85"/>
  <c r="C1976" i="85"/>
  <c r="C928" i="85"/>
  <c r="C35" i="85"/>
  <c r="C1679" i="85"/>
  <c r="C740" i="85"/>
  <c r="C592" i="85"/>
  <c r="C325" i="85"/>
  <c r="C447" i="85"/>
  <c r="C1026" i="85"/>
  <c r="C494" i="85"/>
  <c r="C877" i="85"/>
  <c r="C1199" i="85"/>
  <c r="C1101" i="85"/>
  <c r="C800" i="85"/>
  <c r="C818" i="85"/>
  <c r="C711" i="85"/>
  <c r="C309" i="85"/>
  <c r="C1474" i="85"/>
  <c r="C567" i="85"/>
  <c r="C1999" i="85"/>
  <c r="C1276" i="85"/>
  <c r="C702" i="85"/>
  <c r="C712" i="85"/>
  <c r="C1355" i="85"/>
  <c r="C577" i="85"/>
  <c r="C247" i="85"/>
  <c r="C1389" i="85"/>
  <c r="C1988" i="85"/>
  <c r="C1190" i="85"/>
  <c r="C1438" i="85"/>
  <c r="C964" i="85"/>
  <c r="C253" i="85"/>
  <c r="C526" i="85"/>
  <c r="C1165" i="85"/>
  <c r="C177" i="85"/>
  <c r="C1501" i="85"/>
  <c r="C727" i="85"/>
  <c r="C862" i="85"/>
  <c r="C1855" i="85"/>
  <c r="C1785" i="85"/>
  <c r="C1503" i="85"/>
  <c r="C1397" i="85"/>
  <c r="C1667" i="85"/>
  <c r="C1642" i="85"/>
  <c r="C737" i="85"/>
  <c r="C1514" i="85"/>
  <c r="C1102" i="85"/>
  <c r="C958" i="85"/>
  <c r="C1300" i="85"/>
  <c r="C1596" i="85"/>
  <c r="C1112" i="85"/>
  <c r="C1412" i="85"/>
  <c r="C791" i="85"/>
  <c r="C1488" i="85"/>
  <c r="C502" i="85"/>
  <c r="C1553" i="85"/>
  <c r="C1073" i="85"/>
  <c r="C1233" i="85"/>
  <c r="C1670" i="85"/>
  <c r="C79" i="85"/>
  <c r="C854" i="85"/>
  <c r="C1744" i="85"/>
  <c r="C1867" i="85"/>
  <c r="C298" i="85"/>
  <c r="C1317" i="85"/>
  <c r="C1027" i="85"/>
  <c r="C1214" i="85"/>
  <c r="C1734" i="85"/>
  <c r="C1716" i="85"/>
  <c r="C1368" i="85"/>
  <c r="C986" i="85"/>
  <c r="C857" i="85"/>
  <c r="C42" i="85"/>
  <c r="C668" i="85"/>
  <c r="C940" i="85"/>
  <c r="C1729" i="85"/>
  <c r="C1459" i="85"/>
  <c r="C743" i="85"/>
  <c r="C1080" i="85"/>
  <c r="C74" i="85"/>
  <c r="C1603" i="85"/>
  <c r="C300" i="85"/>
  <c r="C1441" i="85"/>
  <c r="C505" i="85"/>
  <c r="C1287" i="85"/>
  <c r="C812" i="85"/>
  <c r="C395" i="85"/>
  <c r="C1834" i="85"/>
  <c r="C530" i="85"/>
  <c r="C1776" i="85"/>
  <c r="C600" i="85"/>
  <c r="C525" i="85"/>
  <c r="C1136" i="85"/>
  <c r="C868" i="85"/>
  <c r="C1420" i="85"/>
  <c r="C1751" i="85"/>
  <c r="C1330" i="85"/>
  <c r="C1088" i="85"/>
  <c r="C1010" i="85"/>
  <c r="C1651" i="85"/>
  <c r="C714" i="85"/>
  <c r="C352" i="85"/>
  <c r="C1017" i="85"/>
  <c r="C1277" i="85"/>
  <c r="C413" i="85"/>
  <c r="C1377" i="85"/>
  <c r="C555" i="85"/>
  <c r="C586" i="85"/>
  <c r="C346" i="85"/>
  <c r="C1654" i="85"/>
  <c r="C1552" i="85"/>
  <c r="C1766" i="85"/>
  <c r="C293" i="85"/>
  <c r="C258" i="85"/>
  <c r="C427" i="85"/>
  <c r="C640" i="85"/>
  <c r="C1648" i="85"/>
  <c r="C1440" i="85"/>
  <c r="C873" i="85"/>
  <c r="C1655" i="85"/>
  <c r="C1248" i="85"/>
  <c r="C1544" i="85"/>
  <c r="C1807" i="85"/>
  <c r="C1206" i="85"/>
  <c r="C190" i="85"/>
  <c r="C1403" i="85"/>
  <c r="C1760" i="85"/>
  <c r="C1825" i="85"/>
  <c r="C808" i="85"/>
  <c r="C1139" i="85"/>
  <c r="C1539" i="85"/>
  <c r="C168" i="85"/>
  <c r="C1264" i="85"/>
  <c r="C217" i="85"/>
  <c r="C1119" i="85"/>
  <c r="C853" i="85"/>
  <c r="C949" i="85"/>
  <c r="C922" i="85"/>
  <c r="C1942" i="85"/>
  <c r="C1374" i="85"/>
  <c r="C1470" i="85"/>
  <c r="C1578" i="85"/>
  <c r="C1421" i="85"/>
  <c r="C1535" i="85"/>
  <c r="C1333" i="85"/>
  <c r="C1763" i="85"/>
  <c r="C84" i="85"/>
  <c r="C1301" i="85"/>
  <c r="C820" i="85"/>
  <c r="C957" i="85"/>
  <c r="C1007" i="85"/>
  <c r="C773" i="85"/>
  <c r="C919" i="85"/>
  <c r="C1594" i="85"/>
  <c r="C1875" i="85"/>
  <c r="C1218" i="85"/>
  <c r="C735" i="85"/>
  <c r="C1148" i="85"/>
  <c r="C973" i="85"/>
  <c r="C797" i="85"/>
  <c r="C188" i="85"/>
  <c r="C575" i="85"/>
  <c r="C558" i="85"/>
  <c r="C1439" i="85"/>
  <c r="C1179" i="85"/>
  <c r="C630" i="85"/>
  <c r="C574" i="85"/>
  <c r="C1174" i="85"/>
  <c r="C542" i="85"/>
  <c r="C128" i="85"/>
  <c r="C1325" i="85"/>
  <c r="C657" i="85"/>
  <c r="C1922" i="85"/>
  <c r="C1871" i="85"/>
  <c r="C1115" i="85"/>
  <c r="C874" i="85"/>
  <c r="C659" i="85"/>
  <c r="C1062" i="85"/>
  <c r="C641" i="85"/>
  <c r="C918" i="85"/>
  <c r="C549" i="85"/>
  <c r="C396" i="85"/>
  <c r="C1328" i="85"/>
  <c r="C1415" i="85"/>
  <c r="C1525" i="85"/>
  <c r="C291" i="85"/>
  <c r="C380" i="85"/>
  <c r="C1209" i="85"/>
  <c r="C1606" i="85"/>
  <c r="C266" i="85"/>
  <c r="C1989" i="85"/>
  <c r="C1001" i="85"/>
  <c r="C1656" i="85"/>
  <c r="C661" i="85"/>
  <c r="C432" i="85"/>
  <c r="C1224" i="85"/>
  <c r="C770" i="85"/>
  <c r="C1281" i="85"/>
  <c r="C1388" i="85"/>
  <c r="C1431" i="85"/>
  <c r="C1008" i="85"/>
  <c r="C1939" i="85"/>
  <c r="C75" i="85"/>
  <c r="C421" i="85"/>
  <c r="C1061" i="85"/>
  <c r="C876" i="85"/>
  <c r="C787" i="85"/>
  <c r="C1638" i="85"/>
  <c r="C1381" i="85"/>
  <c r="C610" i="85"/>
  <c r="C393" i="85"/>
  <c r="C1250" i="85"/>
  <c r="C671" i="85"/>
  <c r="C537" i="85"/>
  <c r="C205" i="85"/>
  <c r="C1162" i="85"/>
  <c r="C1118" i="85"/>
  <c r="C1983" i="85"/>
  <c r="C1004" i="85"/>
  <c r="C501" i="85"/>
  <c r="C1122" i="85"/>
  <c r="C370" i="85"/>
  <c r="C422" i="85"/>
  <c r="C499" i="85"/>
  <c r="C1491" i="85"/>
  <c r="C679" i="85"/>
  <c r="C1003" i="85"/>
  <c r="C1147" i="85"/>
  <c r="C1331" i="85"/>
  <c r="C374" i="85"/>
  <c r="C1425" i="85"/>
  <c r="C514" i="85"/>
  <c r="C85" i="85"/>
  <c r="C186" i="85"/>
  <c r="C367" i="85"/>
  <c r="C1422" i="85"/>
  <c r="C1384" i="85"/>
  <c r="C259" i="85"/>
  <c r="C1520" i="85"/>
  <c r="C1831" i="85"/>
  <c r="C1056" i="85"/>
  <c r="C599" i="85"/>
  <c r="C795" i="85"/>
  <c r="C1445" i="85"/>
  <c r="C1472" i="85"/>
  <c r="C749" i="85"/>
  <c r="C667" i="85"/>
  <c r="C1307" i="85"/>
  <c r="C1227" i="85"/>
  <c r="C777" i="85"/>
  <c r="C1784" i="85"/>
  <c r="C443" i="85"/>
  <c r="C1753" i="85"/>
  <c r="C623" i="85"/>
  <c r="C1237" i="85"/>
  <c r="C1235" i="85"/>
  <c r="C1537" i="85"/>
  <c r="C1041" i="85"/>
  <c r="C326" i="85"/>
  <c r="C411" i="85"/>
  <c r="C1949" i="85"/>
  <c r="C540" i="85"/>
  <c r="C1568" i="85"/>
  <c r="C1137" i="85"/>
  <c r="C723" i="85"/>
  <c r="C1779" i="85"/>
  <c r="C815" i="85"/>
  <c r="C596" i="85"/>
  <c r="C960" i="85"/>
  <c r="C865" i="85"/>
  <c r="C312" i="85"/>
  <c r="C1456" i="85"/>
  <c r="C1043" i="85"/>
  <c r="C1707" i="85"/>
  <c r="C550" i="85"/>
  <c r="C1182" i="85"/>
  <c r="C1639" i="85"/>
  <c r="C1629" i="85"/>
  <c r="C1167" i="85"/>
  <c r="C1878" i="85"/>
  <c r="C817" i="85"/>
  <c r="C206" i="85"/>
  <c r="C1894" i="85"/>
  <c r="C1486" i="85"/>
  <c r="C183" i="85"/>
  <c r="C488" i="85"/>
  <c r="C944" i="85"/>
  <c r="C1795" i="85"/>
  <c r="C1662" i="85"/>
  <c r="C277" i="85"/>
  <c r="C1313" i="85"/>
  <c r="C819" i="85"/>
  <c r="C1471" i="85"/>
  <c r="C457" i="85"/>
  <c r="C240" i="85"/>
  <c r="C387" i="85"/>
  <c r="C351" i="85"/>
  <c r="C807" i="85"/>
  <c r="C883" i="85"/>
  <c r="C1135" i="85"/>
  <c r="C642" i="85"/>
  <c r="C402" i="85"/>
  <c r="C1964" i="85"/>
  <c r="C1363" i="85"/>
  <c r="C927" i="85"/>
  <c r="C783" i="85"/>
  <c r="C1245" i="85"/>
  <c r="C342" i="85"/>
  <c r="C56" i="85"/>
  <c r="C299" i="85"/>
  <c r="C392" i="85"/>
  <c r="C576" i="85"/>
  <c r="C638" i="85"/>
  <c r="C1014" i="85"/>
  <c r="C1075" i="85"/>
  <c r="C329" i="85"/>
  <c r="C1884" i="85"/>
  <c r="C1748" i="85"/>
  <c r="C1890" i="85"/>
  <c r="C1057" i="85"/>
  <c r="C1881" i="85"/>
  <c r="C1929" i="85"/>
  <c r="C339" i="85"/>
  <c r="C1717" i="85"/>
  <c r="C1158" i="85"/>
  <c r="C1044" i="85"/>
  <c r="C62" i="85"/>
  <c r="C827" i="85"/>
  <c r="C1626" i="85"/>
  <c r="C446" i="85"/>
  <c r="C390" i="85"/>
  <c r="C894" i="85"/>
  <c r="C813" i="85"/>
  <c r="C1321" i="85"/>
  <c r="C423" i="85"/>
  <c r="C1591" i="85"/>
  <c r="C1725" i="85"/>
  <c r="C357" i="85"/>
  <c r="C273" i="85"/>
  <c r="C1905" i="85"/>
  <c r="C811" i="85"/>
  <c r="C248" i="85"/>
  <c r="C234" i="85"/>
  <c r="C794" i="85"/>
  <c r="C1497" i="85"/>
  <c r="C262" i="85"/>
  <c r="C1046" i="85"/>
  <c r="C1404" i="85"/>
  <c r="C1616" i="85"/>
  <c r="C728" i="85"/>
  <c r="C251" i="85"/>
  <c r="C1947" i="85"/>
  <c r="C736" i="85"/>
  <c r="C947" i="85"/>
  <c r="C1097" i="85"/>
  <c r="C1574" i="85"/>
  <c r="C1163" i="85"/>
  <c r="C27" i="85"/>
  <c r="C1106" i="85"/>
  <c r="C823" i="85"/>
  <c r="C1862" i="85"/>
  <c r="C1513" i="85"/>
  <c r="C297" i="85"/>
  <c r="C1548" i="85"/>
  <c r="C1166" i="85"/>
  <c r="C1114" i="85"/>
  <c r="C1530" i="85"/>
  <c r="C1580" i="85"/>
  <c r="C1788" i="85"/>
  <c r="C1502" i="85"/>
  <c r="C1229" i="85"/>
  <c r="C822" i="85"/>
  <c r="C263" i="85"/>
  <c r="C1819" i="85"/>
  <c r="C231" i="85"/>
  <c r="C1302" i="85"/>
  <c r="C968" i="85"/>
  <c r="C1768" i="85"/>
  <c r="C450" i="85"/>
  <c r="C1743" i="85"/>
  <c r="C1382" i="85"/>
  <c r="C948" i="85"/>
  <c r="C493" i="85"/>
  <c r="C836" i="85"/>
  <c r="C1712" i="85"/>
  <c r="C1212" i="85"/>
  <c r="C1134" i="85"/>
  <c r="C1304" i="85"/>
  <c r="C1433" i="85"/>
  <c r="C1835" i="85"/>
  <c r="C1306" i="85"/>
  <c r="C1320" i="85"/>
  <c r="C1640" i="85"/>
  <c r="C1680" i="85"/>
  <c r="C1868" i="85"/>
  <c r="C270" i="85"/>
  <c r="C527" i="85"/>
  <c r="C1498" i="85"/>
  <c r="C63" i="85"/>
  <c r="C1545" i="85"/>
  <c r="C1816" i="85"/>
  <c r="C1677" i="85"/>
  <c r="C1873" i="85"/>
  <c r="C389" i="85"/>
  <c r="C337" i="85"/>
  <c r="C1889" i="85"/>
  <c r="C1345" i="85"/>
  <c r="C1292" i="85"/>
  <c r="C1314" i="85"/>
  <c r="C627" i="85"/>
  <c r="C906" i="85"/>
  <c r="C1842" i="85"/>
  <c r="C1978" i="85"/>
  <c r="C1840" i="85"/>
  <c r="C1694" i="85"/>
  <c r="C589" i="85"/>
  <c r="C699" i="85"/>
  <c r="C1726" i="85"/>
  <c r="C1550" i="85"/>
  <c r="C866" i="85"/>
  <c r="C1887" i="85"/>
  <c r="C1641" i="85"/>
  <c r="C991" i="85"/>
  <c r="C1089" i="85"/>
  <c r="C1536" i="85"/>
  <c r="C1416" i="85"/>
  <c r="C705" i="85"/>
  <c r="C69" i="85"/>
  <c r="C358" i="85"/>
  <c r="C878" i="85"/>
  <c r="C1877" i="85"/>
  <c r="C1935" i="85"/>
  <c r="C924" i="85"/>
  <c r="C1150" i="85"/>
  <c r="C1085" i="85"/>
  <c r="C264" i="85"/>
  <c r="C473" i="85"/>
  <c r="C1087" i="85"/>
  <c r="C1986" i="85"/>
  <c r="C544" i="85"/>
  <c r="C566" i="85"/>
  <c r="C1902" i="85"/>
  <c r="C1824" i="85"/>
  <c r="C888" i="85"/>
  <c r="C1426" i="85"/>
  <c r="C1918" i="85"/>
  <c r="C369" i="85"/>
  <c r="C989" i="85"/>
  <c r="C373" i="85"/>
  <c r="C1311" i="85"/>
  <c r="C1437" i="85"/>
  <c r="C1925" i="85"/>
  <c r="C1142" i="85"/>
  <c r="C1048" i="85"/>
  <c r="C672" i="85"/>
  <c r="C275" i="85"/>
  <c r="C1141" i="85"/>
  <c r="C941" i="85"/>
  <c r="C1965" i="85"/>
  <c r="C172" i="85"/>
  <c r="C1231" i="85"/>
  <c r="C915" i="85"/>
  <c r="C701" i="85"/>
  <c r="C492" i="85"/>
  <c r="C507" i="85"/>
  <c r="C703" i="85"/>
  <c r="C41" i="85"/>
  <c r="C789" i="85"/>
  <c r="C1523" i="85"/>
  <c r="C1255" i="85"/>
  <c r="C274" i="85"/>
  <c r="C1348" i="85"/>
  <c r="C721" i="85"/>
  <c r="C851" i="85"/>
  <c r="C1411" i="85"/>
  <c r="C1249" i="85"/>
  <c r="C1803" i="85"/>
  <c r="C1053" i="85"/>
  <c r="C1221" i="85"/>
  <c r="C764" i="85"/>
  <c r="C209" i="85"/>
  <c r="C452" i="85"/>
  <c r="C204" i="85"/>
  <c r="C1350" i="85"/>
  <c r="C1428" i="85"/>
  <c r="C1620" i="85"/>
  <c r="C1334" i="85"/>
  <c r="C1732" i="85"/>
  <c r="C945" i="85"/>
  <c r="C414" i="85"/>
  <c r="C1934" i="85"/>
  <c r="C1691" i="85"/>
  <c r="C1595" i="85"/>
  <c r="C1533" i="85"/>
  <c r="C850" i="85"/>
  <c r="C520" i="85"/>
  <c r="C840" i="85"/>
  <c r="C1478" i="85"/>
  <c r="C1258" i="85"/>
  <c r="C1344" i="85"/>
  <c r="C1254" i="85"/>
  <c r="C305" i="85"/>
  <c r="C1852" i="85"/>
  <c r="C1012" i="85"/>
  <c r="C254" i="85"/>
  <c r="C1850" i="85"/>
  <c r="C1362" i="85"/>
  <c r="C572" i="85"/>
  <c r="C1178" i="85"/>
  <c r="C1393" i="85"/>
  <c r="C1512" i="85"/>
  <c r="C1327" i="85"/>
  <c r="C1385" i="85"/>
  <c r="C1295" i="85"/>
  <c r="C1444" i="85"/>
  <c r="C725" i="85"/>
  <c r="C1793" i="85"/>
  <c r="C1958" i="85"/>
  <c r="C316" i="85"/>
  <c r="C1457" i="85"/>
  <c r="C1140" i="85"/>
  <c r="C230" i="85"/>
  <c r="C486" i="85"/>
  <c r="C1818" i="85"/>
  <c r="C684" i="85"/>
  <c r="C322" i="85"/>
  <c r="C895" i="85"/>
  <c r="C317" i="85"/>
  <c r="C1977" i="85"/>
  <c r="C784" i="85"/>
  <c r="C1526" i="85"/>
  <c r="C631" i="85"/>
  <c r="C1197" i="85"/>
  <c r="C912" i="85"/>
  <c r="C406" i="85"/>
  <c r="C925" i="85"/>
  <c r="C863" i="85"/>
  <c r="C678" i="85"/>
  <c r="C658" i="85"/>
  <c r="C1196" i="85"/>
  <c r="C891" i="85"/>
  <c r="C444" i="85"/>
  <c r="C1047" i="85"/>
  <c r="C1504" i="85"/>
  <c r="C1419" i="85"/>
  <c r="C1361" i="85"/>
  <c r="C1919" i="85"/>
  <c r="C666" i="85"/>
  <c r="C66" i="85"/>
  <c r="C221" i="85"/>
  <c r="C902" i="85"/>
  <c r="C856" i="85"/>
  <c r="C509" i="85"/>
  <c r="C1864" i="85"/>
  <c r="C970" i="85"/>
  <c r="C1888" i="85"/>
  <c r="C481" i="85"/>
  <c r="C313" i="85"/>
  <c r="C564" i="85"/>
  <c r="C1646" i="85"/>
  <c r="C1762" i="85"/>
  <c r="C767" i="85"/>
  <c r="C953" i="85"/>
  <c r="C1465" i="85"/>
  <c r="C1709" i="85"/>
  <c r="C655" i="85"/>
  <c r="C1220" i="85"/>
  <c r="C242" i="85"/>
  <c r="C938" i="85"/>
  <c r="C1697" i="85"/>
  <c r="C1912" i="85"/>
  <c r="C1844" i="85"/>
  <c r="C591" i="85"/>
  <c r="C984" i="85"/>
  <c r="C1285" i="85"/>
  <c r="C397" i="85"/>
  <c r="C1230" i="85"/>
  <c r="C1593" i="85"/>
  <c r="C1191" i="85"/>
  <c r="C1682" i="85"/>
  <c r="C966" i="85"/>
  <c r="C1013" i="85"/>
  <c r="C1810" i="85"/>
  <c r="C1896" i="85"/>
  <c r="C1649" i="85"/>
  <c r="C1219" i="85"/>
  <c r="C1932" i="85"/>
  <c r="C1055" i="85"/>
  <c r="C1447" i="85"/>
  <c r="C59" i="85"/>
  <c r="C1555" i="85"/>
  <c r="C1183" i="85"/>
  <c r="C255" i="85"/>
  <c r="C1273" i="85"/>
  <c r="C1485" i="85"/>
  <c r="C1518" i="85"/>
  <c r="C401" i="85"/>
  <c r="C761" i="85"/>
  <c r="C295" i="85"/>
  <c r="C1256" i="85"/>
  <c r="C1659" i="85"/>
  <c r="C93" i="85"/>
  <c r="C955" i="85"/>
  <c r="C1201" i="85"/>
  <c r="C692" i="85"/>
  <c r="C741" i="85"/>
  <c r="C1086" i="85"/>
  <c r="C690" i="85"/>
  <c r="C173" i="85"/>
  <c r="C581" i="85"/>
  <c r="C1551" i="85"/>
  <c r="C1823" i="85"/>
  <c r="C1711" i="85"/>
  <c r="C340" i="85"/>
  <c r="C1181" i="85"/>
  <c r="C1063" i="85"/>
  <c r="C1108" i="85"/>
  <c r="C287" i="85"/>
  <c r="C451" i="85"/>
  <c r="C1069" i="85"/>
  <c r="C1589" i="85"/>
  <c r="C1105" i="85"/>
  <c r="C265" i="85"/>
  <c r="C771" i="85"/>
  <c r="C1974" i="85"/>
  <c r="C1948" i="85"/>
  <c r="C1022" i="85"/>
  <c r="C622" i="85"/>
  <c r="C335" i="85"/>
  <c r="C1997" i="85"/>
  <c r="C184" i="85"/>
  <c r="C116" i="85"/>
  <c r="C376" i="85"/>
  <c r="C1189" i="85"/>
  <c r="C1921" i="85"/>
  <c r="C1104" i="85"/>
  <c r="C1783" i="85"/>
  <c r="C1499" i="85"/>
  <c r="C246" i="85"/>
  <c r="C187" i="85"/>
  <c r="C796" i="85"/>
  <c r="C497" i="85"/>
  <c r="C988" i="85"/>
  <c r="C579" i="85"/>
  <c r="C1390" i="85"/>
  <c r="C824" i="85"/>
  <c r="C1424" i="85"/>
  <c r="C889" i="85"/>
  <c r="C562" i="85"/>
  <c r="C1854" i="85"/>
  <c r="C438" i="85"/>
  <c r="C216" i="85"/>
  <c r="C334" i="85"/>
  <c r="C1170" i="85"/>
  <c r="C720" i="85"/>
  <c r="C466" i="85"/>
  <c r="C802" i="85"/>
  <c r="C286" i="85"/>
  <c r="C356" i="85"/>
  <c r="C500" i="85"/>
  <c r="C903" i="85"/>
  <c r="C831" i="85"/>
  <c r="C1610" i="85"/>
  <c r="C1970" i="85"/>
  <c r="C1050" i="85"/>
  <c r="C1289" i="85"/>
  <c r="C1987" i="85"/>
  <c r="C593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<sst xmlns="http://schemas.openxmlformats.org/spreadsheetml/2006/main" count="16265" uniqueCount="2427">
  <si>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</si>
  <si>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</si>
  <si>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</si>
  <si>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</si>
  <si>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</si>
  <si>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</si>
  <si>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</si>
  <si>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</si>
  <si>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</si>
  <si>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</si>
  <si>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</si>
  <si>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</si>
  <si>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</si>
  <si>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</si>
  <si>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</si>
  <si>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</si>
  <si>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</si>
  <si>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</si>
  <si>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</si>
  <si>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</si>
  <si>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</si>
  <si>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</si>
  <si>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</si>
  <si>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</si>
  <si>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</si>
  <si>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</si>
  <si>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</si>
  <si>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</si>
  <si>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</si>
  <si>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</si>
  <si>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</si>
  <si>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</si>
  <si>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</si>
  <si>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</si>
  <si>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</si>
  <si>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</si>
  <si>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</si>
  <si>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</si>
  <si>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</si>
  <si>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</si>
  <si>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</si>
  <si>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</si>
  <si>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</si>
  <si>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</si>
  <si>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</si>
  <si>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</si>
  <si>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</si>
  <si>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</si>
  <si>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</si>
  <si>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</si>
  <si>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</si>
  <si>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</si>
  <si>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</si>
  <si>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</si>
  <si>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</si>
  <si>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</si>
  <si>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</si>
  <si>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</si>
  <si>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</si>
  <si>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</si>
  <si>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</si>
  <si>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</si>
  <si>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</si>
  <si>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</si>
  <si>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</si>
  <si>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</si>
  <si>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</si>
  <si>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</si>
  <si>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</si>
  <si>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</si>
  <si>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</si>
  <si>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</si>
  <si>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</si>
  <si>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</si>
  <si>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</si>
  <si>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</si>
  <si>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</si>
  <si>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</si>
  <si>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</si>
  <si>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</si>
  <si>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</si>
  <si>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</si>
  <si>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</si>
  <si>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</si>
  <si>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</si>
  <si>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</si>
  <si>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</si>
  <si>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</si>
  <si>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</si>
  <si>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</si>
  <si>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</si>
  <si>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</si>
  <si>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</si>
  <si>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</si>
  <si>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</si>
  <si>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</si>
  <si>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</si>
  <si>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</si>
  <si>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</si>
  <si>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</si>
  <si>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</si>
  <si>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</si>
  <si>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</si>
  <si>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</si>
  <si>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</si>
  <si>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</si>
  <si>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</si>
  <si>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</si>
  <si>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</si>
  <si>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</si>
  <si>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</si>
  <si>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</si>
  <si>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</si>
  <si>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</si>
  <si>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</si>
  <si>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</si>
  <si>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</si>
  <si>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</si>
  <si>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</si>
  <si>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</si>
  <si>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</si>
  <si>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</si>
  <si>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</si>
  <si>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</si>
  <si>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</si>
  <si>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</si>
  <si>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</si>
  <si>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</si>
  <si>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</si>
  <si>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</si>
  <si>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</si>
  <si>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</si>
  <si>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</si>
  <si>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</si>
  <si>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</si>
  <si>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</si>
  <si>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</si>
  <si>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</si>
  <si>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</si>
  <si>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</si>
  <si>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</si>
  <si>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</si>
  <si>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</si>
  <si>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</si>
  <si>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</si>
  <si>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</si>
  <si>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</si>
  <si>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</si>
  <si>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</si>
  <si>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</si>
  <si>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</si>
  <si>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</si>
  <si>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</si>
  <si>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</si>
  <si>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</si>
  <si>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</si>
  <si>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</si>
  <si>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</si>
  <si>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</si>
  <si>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</si>
  <si>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</si>
  <si>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</si>
  <si>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</si>
  <si>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</si>
  <si>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</si>
  <si>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</si>
  <si>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</si>
  <si>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</si>
  <si>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</si>
  <si>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</si>
  <si>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</si>
  <si>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</si>
  <si>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</si>
  <si>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</si>
  <si>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</si>
  <si>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</si>
  <si>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</si>
  <si>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</si>
  <si>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</si>
  <si>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</si>
  <si>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</si>
  <si>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</si>
  <si>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</si>
  <si>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</si>
  <si>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</si>
  <si>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</si>
  <si>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</si>
  <si>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</si>
  <si>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</si>
  <si>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</si>
  <si>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</si>
  <si>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</si>
  <si>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</si>
  <si>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</si>
  <si>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</si>
  <si>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</si>
  <si>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</si>
  <si>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</si>
  <si>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</si>
  <si>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</si>
  <si>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</si>
  <si>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</si>
  <si>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</si>
  <si>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</si>
  <si>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</si>
  <si>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</si>
  <si>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</si>
  <si>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</si>
  <si>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</si>
  <si>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</si>
  <si>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</si>
  <si>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</si>
  <si>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</si>
  <si>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</si>
  <si>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</si>
  <si>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</si>
  <si>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</si>
  <si>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</si>
  <si>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</si>
  <si>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</si>
  <si>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</si>
  <si>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</si>
  <si>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</si>
  <si>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</si>
  <si>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</si>
  <si>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</si>
  <si>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</si>
  <si>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</si>
  <si>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</si>
  <si>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</si>
  <si>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</si>
  <si>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</si>
  <si>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</si>
  <si>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</si>
  <si>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</si>
  <si>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</si>
  <si>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</si>
  <si>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</si>
  <si>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</si>
  <si>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</si>
  <si>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</si>
  <si>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</si>
  <si>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</si>
  <si>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</si>
  <si>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</si>
  <si>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</si>
  <si>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</si>
  <si>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</si>
  <si>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</si>
  <si>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</si>
  <si>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</si>
  <si>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</si>
  <si>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</si>
  <si>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</si>
  <si>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</si>
  <si>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</si>
  <si>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</si>
  <si>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</si>
  <si>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</si>
  <si>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</si>
  <si>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</si>
  <si>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</si>
  <si>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</si>
  <si>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</si>
  <si>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</si>
  <si>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</si>
  <si>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</si>
  <si>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</si>
  <si>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</si>
  <si>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</si>
  <si>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</si>
  <si>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</si>
  <si>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</si>
  <si>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</si>
  <si>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</si>
  <si>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</si>
  <si>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</si>
  <si>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</si>
  <si>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</si>
  <si>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</si>
  <si>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</si>
  <si>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</si>
  <si>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</si>
  <si>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</si>
  <si>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</si>
  <si>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</si>
  <si>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</si>
  <si>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</si>
  <si>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</si>
  <si>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</si>
  <si>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</si>
  <si>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</si>
  <si>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</si>
  <si>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</si>
  <si>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</si>
  <si>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</si>
  <si>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</si>
  <si>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</si>
  <si>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</si>
  <si>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</si>
  <si>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</si>
  <si>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</si>
  <si>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</si>
  <si>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</si>
  <si>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</si>
  <si>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</si>
  <si>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</si>
  <si>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</si>
  <si>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</si>
  <si>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</si>
  <si>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</si>
  <si>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</si>
  <si>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</si>
  <si>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</si>
  <si>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</si>
  <si>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</si>
  <si>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</si>
  <si>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</si>
  <si>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</si>
  <si>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</si>
  <si>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</si>
  <si>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</si>
  <si>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</si>
  <si>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</si>
  <si>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</si>
  <si>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</si>
  <si>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</si>
  <si>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</si>
  <si>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</si>
  <si>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</si>
  <si>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</si>
  <si>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</si>
  <si>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</si>
  <si>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</si>
  <si>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</si>
  <si>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</si>
  <si>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</si>
  <si>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</si>
  <si>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</si>
  <si>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</si>
  <si>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</si>
  <si>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</si>
  <si>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</si>
  <si>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</si>
  <si>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</si>
  <si>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</si>
  <si>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</si>
  <si>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</si>
  <si>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</si>
  <si>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</si>
  <si>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</si>
  <si>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</si>
  <si>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</si>
  <si>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</si>
  <si>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</si>
  <si>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</si>
  <si>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</si>
  <si>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</si>
  <si>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</si>
  <si>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</si>
  <si>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</si>
  <si>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</si>
  <si>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</si>
  <si>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</si>
  <si>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</si>
  <si>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</si>
  <si>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</si>
  <si>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</si>
  <si>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</si>
  <si>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</si>
  <si>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</si>
  <si>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</si>
  <si>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</si>
  <si>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</si>
  <si>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</si>
  <si>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</si>
  <si>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</si>
  <si>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</si>
  <si>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</si>
  <si>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</si>
  <si>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</si>
  <si>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</si>
  <si>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</si>
  <si>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</si>
  <si>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</si>
  <si>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</si>
  <si>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</si>
  <si>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</si>
  <si>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</si>
  <si>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</si>
  <si>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</si>
  <si>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</si>
  <si>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</si>
  <si>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</si>
  <si>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</si>
  <si>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</si>
  <si>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</si>
  <si>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</si>
  <si>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</si>
  <si>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</si>
  <si>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</si>
  <si>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</si>
  <si>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</si>
  <si>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</si>
  <si>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</si>
  <si>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</si>
  <si>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</si>
  <si>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</si>
  <si>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</si>
  <si>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</si>
  <si>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</si>
  <si>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</si>
  <si>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</si>
  <si>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</si>
  <si>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</si>
  <si>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</si>
  <si>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</si>
  <si>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</si>
  <si>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</si>
  <si>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</si>
  <si>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</si>
  <si>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</si>
  <si>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</si>
  <si>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</si>
  <si>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</si>
  <si>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</si>
  <si>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</si>
  <si>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</si>
  <si>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</si>
  <si>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</si>
  <si>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</si>
  <si>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</si>
  <si>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</si>
  <si>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</si>
  <si>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</si>
  <si>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</si>
  <si>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</si>
  <si>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</si>
  <si>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</si>
  <si>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</si>
  <si>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</si>
  <si>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</si>
  <si>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</si>
  <si>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</si>
  <si>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</si>
  <si>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</si>
  <si>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</si>
  <si>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</si>
  <si>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</si>
  <si>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</si>
  <si>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</si>
  <si>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</si>
  <si>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</si>
  <si>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</si>
  <si>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</si>
  <si>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</si>
  <si>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</si>
  <si>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</si>
  <si>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</si>
  <si>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</si>
  <si>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</si>
  <si>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</si>
  <si>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</si>
  <si>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</si>
  <si>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</si>
  <si>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</si>
  <si>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</si>
  <si>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</si>
  <si>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</si>
  <si>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</si>
  <si>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</si>
  <si>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</si>
  <si>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</si>
  <si>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</si>
  <si>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</si>
  <si>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</si>
  <si>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</si>
  <si>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</si>
  <si>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</si>
  <si>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</si>
  <si>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</si>
  <si>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</si>
  <si>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</si>
  <si>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</si>
  <si>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</si>
  <si>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</si>
  <si>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</si>
  <si>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</si>
  <si>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</si>
  <si>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</si>
  <si>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</si>
  <si>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</si>
  <si>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</si>
  <si>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</si>
  <si>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</si>
  <si>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</si>
  <si>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</si>
  <si>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</si>
  <si>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</si>
  <si>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</si>
  <si>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</si>
  <si>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</si>
  <si>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</si>
  <si>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</si>
  <si>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</si>
  <si>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</si>
  <si>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</si>
  <si>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</si>
  <si>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</si>
  <si>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</si>
  <si>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</si>
  <si>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</si>
  <si>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</si>
  <si>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</si>
  <si>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</si>
  <si>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</si>
  <si>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</si>
  <si>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</si>
  <si>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</si>
  <si>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</si>
  <si>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</si>
  <si>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</si>
  <si>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</si>
  <si>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</si>
  <si>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</si>
  <si>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</si>
  <si>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</si>
  <si>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</si>
  <si>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</si>
  <si>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</si>
  <si>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</si>
  <si>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</si>
  <si>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</si>
  <si>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</si>
  <si>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</si>
  <si>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</si>
  <si>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</si>
  <si>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</si>
  <si>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</si>
  <si>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</si>
  <si>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</si>
  <si>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</si>
  <si>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</si>
  <si>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</si>
  <si>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</si>
  <si>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</si>
  <si>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</si>
  <si>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</si>
  <si>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</si>
  <si>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</si>
  <si>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</si>
  <si>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</si>
  <si>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</si>
  <si>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</si>
  <si>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</si>
  <si>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</si>
  <si>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</si>
  <si>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</si>
  <si>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</si>
  <si>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</si>
  <si>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</si>
  <si>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</si>
  <si>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</si>
  <si>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</si>
  <si>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</si>
  <si>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</si>
  <si>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</si>
  <si>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</si>
  <si>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</si>
  <si>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</si>
  <si>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</si>
  <si>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</si>
  <si>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</si>
  <si>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</si>
  <si>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</si>
  <si>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</si>
  <si>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</si>
  <si>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</si>
  <si>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</si>
  <si>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</si>
  <si>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</si>
  <si>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</si>
  <si>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</si>
  <si>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</si>
  <si>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</si>
  <si>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</si>
  <si>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</si>
  <si>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</si>
  <si>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</si>
  <si>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</si>
  <si>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</si>
  <si>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</si>
  <si>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</si>
  <si>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</si>
  <si>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</si>
  <si>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</si>
  <si>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</si>
  <si>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</si>
  <si>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</si>
  <si>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</si>
  <si>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</si>
  <si>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</si>
  <si>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</si>
  <si>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</si>
  <si>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</si>
  <si>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</si>
  <si>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</si>
  <si>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</si>
  <si>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</si>
  <si>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</si>
  <si>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</si>
  <si>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</si>
  <si>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</si>
  <si>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</si>
  <si>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</si>
  <si>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</si>
  <si>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</si>
  <si>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</si>
  <si>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</si>
  <si>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</si>
  <si>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</si>
  <si>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</si>
  <si>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</si>
  <si>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</si>
  <si>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</si>
  <si>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</si>
  <si>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</si>
  <si>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</si>
  <si>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</si>
  <si>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</si>
  <si>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</si>
  <si>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</si>
  <si>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</si>
  <si>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</si>
  <si>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</si>
  <si>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</si>
  <si>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</si>
  <si>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</si>
  <si>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</si>
  <si>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</si>
  <si>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</si>
  <si>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</si>
  <si>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</si>
  <si>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</si>
  <si>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</si>
  <si>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</si>
  <si>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</si>
  <si>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</si>
  <si>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</si>
  <si>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</si>
  <si>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</si>
  <si>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</si>
  <si>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</si>
  <si>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</si>
  <si>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</si>
  <si>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</si>
  <si>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</si>
  <si>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</si>
  <si>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</si>
  <si>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</si>
  <si>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</si>
  <si>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</si>
  <si>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</si>
  <si>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</si>
  <si>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</si>
  <si>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</si>
  <si>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</si>
  <si>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</si>
  <si>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</si>
  <si>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</si>
  <si>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</si>
  <si>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</si>
  <si>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</si>
  <si>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</si>
  <si>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</si>
  <si>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</si>
  <si>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</si>
  <si>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</si>
  <si>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</si>
  <si>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</si>
  <si>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</si>
  <si>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</si>
  <si>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</si>
  <si>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</si>
  <si>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</si>
  <si>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</si>
  <si>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</si>
  <si>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</si>
  <si>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</si>
  <si>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</si>
  <si>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</si>
  <si>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</si>
  <si>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</si>
  <si>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</si>
  <si>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</si>
  <si>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</si>
  <si>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</si>
  <si>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</si>
  <si>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</si>
  <si>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</si>
  <si>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</si>
  <si>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</si>
  <si>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</si>
  <si>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</si>
  <si>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</si>
  <si>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</si>
  <si>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</si>
  <si>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</si>
  <si>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</si>
  <si>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</si>
  <si>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</si>
  <si>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</si>
  <si>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</si>
  <si>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</si>
  <si>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</si>
  <si>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</si>
  <si>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</si>
  <si>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</si>
  <si>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</si>
  <si>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</si>
  <si>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</si>
  <si>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</si>
  <si>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</si>
  <si>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</si>
  <si>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</si>
  <si>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</si>
  <si>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</si>
  <si>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</si>
  <si>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</si>
  <si>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</si>
  <si>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</si>
  <si>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</si>
  <si>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</si>
  <si>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</si>
  <si>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</si>
  <si>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</si>
  <si>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</si>
  <si>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</si>
  <si>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</si>
  <si>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</si>
  <si>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</si>
  <si>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</si>
  <si>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</si>
  <si>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</si>
  <si>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</si>
  <si>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</si>
  <si>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</si>
  <si>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</si>
  <si>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</si>
  <si>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</si>
  <si>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</si>
  <si>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</si>
  <si>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</si>
  <si>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</si>
  <si>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</si>
  <si>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</si>
  <si>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</si>
  <si>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</si>
  <si>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</si>
  <si>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</si>
  <si>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</si>
  <si>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</si>
  <si>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</si>
  <si>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</si>
  <si>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</si>
  <si>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</si>
  <si>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</si>
  <si>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</si>
  <si>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</si>
  <si>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</si>
  <si>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</si>
  <si>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</si>
  <si>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</si>
  <si>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</si>
  <si>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</si>
  <si>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</si>
  <si>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</si>
  <si>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</si>
  <si>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</si>
  <si>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</si>
  <si>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</si>
  <si>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</si>
  <si>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</si>
  <si>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</si>
  <si>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</si>
  <si>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</si>
  <si>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</si>
  <si>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</si>
  <si>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</si>
  <si>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</si>
  <si>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</si>
  <si>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</si>
  <si>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</si>
  <si>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</si>
  <si>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</si>
  <si>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</si>
  <si>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</si>
  <si>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</si>
  <si>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</si>
  <si>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</si>
  <si>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</si>
  <si>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</si>
  <si>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</si>
  <si>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</si>
  <si>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</si>
  <si>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</si>
  <si>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</si>
  <si>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</si>
  <si>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</si>
  <si>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</si>
  <si>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</si>
  <si>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</si>
  <si>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</si>
  <si>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</si>
  <si>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</si>
  <si>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</si>
  <si>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</si>
  <si>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</si>
  <si>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</si>
  <si>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</si>
  <si>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</si>
  <si>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</si>
  <si>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</si>
  <si>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</si>
  <si>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</si>
  <si>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</si>
  <si>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</si>
  <si>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</si>
  <si>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</si>
  <si>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</si>
  <si>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</si>
  <si>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</si>
  <si>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</si>
  <si>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</si>
  <si>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</si>
  <si>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</si>
  <si>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</si>
  <si>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</si>
  <si>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</si>
  <si>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</si>
  <si>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</si>
  <si>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</si>
  <si>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</si>
  <si>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</si>
  <si>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</si>
  <si>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</si>
  <si>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</si>
  <si>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</si>
  <si>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</si>
  <si>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</si>
  <si>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</si>
  <si>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</si>
  <si>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</si>
  <si>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</si>
  <si>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</si>
  <si>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</si>
  <si>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</si>
  <si>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</si>
  <si>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</si>
  <si>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</si>
  <si>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</si>
  <si>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</si>
  <si>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</si>
  <si>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</si>
  <si>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</si>
  <si>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</si>
  <si>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</si>
  <si>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</si>
  <si>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</si>
  <si>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</si>
  <si>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</si>
  <si>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</si>
  <si>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</si>
  <si>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</si>
  <si>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</si>
  <si>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</si>
  <si>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</si>
  <si>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</si>
  <si>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</si>
  <si>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</si>
  <si>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</si>
  <si>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</si>
  <si>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</si>
  <si>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</si>
  <si>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</si>
  <si>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</si>
  <si>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</si>
  <si>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</si>
  <si>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</si>
  <si>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</si>
  <si>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</si>
  <si>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</si>
  <si>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</si>
  <si>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</si>
  <si>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</si>
  <si>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</si>
  <si>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</si>
  <si>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</si>
  <si>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</si>
  <si>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</si>
  <si>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</si>
  <si>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</si>
  <si>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</si>
  <si>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</si>
  <si>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</si>
  <si>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</si>
  <si>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</si>
  <si>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</si>
  <si>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</si>
  <si>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</si>
  <si>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</si>
  <si>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</si>
  <si>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</si>
  <si>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</si>
  <si>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</si>
  <si>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</si>
  <si>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</si>
  <si>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</si>
  <si>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</si>
  <si>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</si>
  <si>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</si>
  <si>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</si>
  <si>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</si>
  <si>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</si>
  <si>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</si>
  <si>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</si>
  <si>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</si>
  <si>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</si>
  <si>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</si>
  <si>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</si>
  <si>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</si>
  <si>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</si>
  <si>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</si>
  <si>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</si>
  <si>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</si>
  <si>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</si>
  <si>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</si>
  <si>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</si>
  <si>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</si>
  <si>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</si>
  <si>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</si>
  <si>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</si>
  <si>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</si>
  <si>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</si>
  <si>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</si>
  <si>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</si>
  <si>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</si>
  <si>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</si>
  <si>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</si>
  <si>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</si>
  <si>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</si>
  <si>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</si>
  <si>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</si>
  <si>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</si>
  <si>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</si>
  <si>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</si>
  <si>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</si>
  <si>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</si>
  <si>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</si>
  <si>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</si>
  <si>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</si>
  <si>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</si>
  <si>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</si>
  <si>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</si>
  <si>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</si>
  <si>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</si>
  <si>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</si>
  <si>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</si>
  <si>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</si>
  <si>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</si>
  <si>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</si>
  <si>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</si>
  <si>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</si>
  <si>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</si>
  <si>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</si>
  <si>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</si>
  <si>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</si>
  <si>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</si>
  <si>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</si>
  <si>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</si>
  <si>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</si>
  <si>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</si>
  <si>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</si>
  <si>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</si>
  <si>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</si>
  <si>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</si>
  <si>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</si>
  <si>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</si>
  <si>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</si>
  <si>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</si>
  <si>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</si>
  <si>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</si>
  <si>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</si>
  <si>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</si>
  <si>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</si>
  <si>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</si>
  <si>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</si>
  <si>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</si>
  <si>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</si>
  <si>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</si>
  <si>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</si>
  <si>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</si>
  <si>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</si>
  <si>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</si>
  <si>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</si>
  <si>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</si>
  <si>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</si>
  <si>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</si>
  <si>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</si>
  <si>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</si>
  <si>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</si>
  <si>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</si>
  <si>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</si>
  <si>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</si>
  <si>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</si>
  <si>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</si>
  <si>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</si>
  <si>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</si>
  <si>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</si>
  <si>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</si>
  <si>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</si>
  <si>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</si>
  <si>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</si>
  <si>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</si>
  <si>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</si>
  <si>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</si>
  <si>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</si>
  <si>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</si>
  <si>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</si>
  <si>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</si>
  <si>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</si>
  <si>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</si>
  <si>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</si>
  <si>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</si>
  <si>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</si>
  <si>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</si>
  <si>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</si>
  <si>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</si>
  <si>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</si>
  <si>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</si>
  <si>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</si>
  <si>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</si>
  <si>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</si>
  <si>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</si>
  <si>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</si>
  <si>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</si>
  <si>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</si>
  <si>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</si>
  <si>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</si>
  <si>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</si>
  <si>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</si>
  <si>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</si>
  <si>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</si>
  <si>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</si>
  <si>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</si>
  <si>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</si>
  <si>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</si>
  <si>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</si>
  <si>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</si>
  <si>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</si>
  <si>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</si>
  <si>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</si>
  <si>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</si>
  <si>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</si>
  <si>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</si>
  <si>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</si>
  <si>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</si>
  <si>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</si>
  <si>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</si>
  <si>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</si>
  <si>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</si>
  <si>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</si>
  <si>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</si>
  <si>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</si>
  <si>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</si>
  <si>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</si>
  <si>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</si>
  <si>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</si>
  <si>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</si>
  <si>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</si>
  <si>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</si>
  <si>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</si>
  <si>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</si>
  <si>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</si>
  <si>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</si>
  <si>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</si>
  <si>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</si>
  <si>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</si>
  <si>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</si>
  <si>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</si>
  <si>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</si>
  <si>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</si>
  <si>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</si>
  <si>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</si>
  <si>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</si>
  <si>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</si>
  <si>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</si>
  <si>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</si>
  <si>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</si>
  <si>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</si>
  <si>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</si>
  <si>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</si>
  <si>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</si>
  <si>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</si>
  <si>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</si>
  <si>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</si>
  <si>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</si>
  <si>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</si>
  <si>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</si>
  <si>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</si>
  <si>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</si>
  <si>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</si>
  <si>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</si>
  <si>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</si>
  <si>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</si>
  <si>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</si>
  <si>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</si>
  <si>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</si>
  <si>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</si>
  <si>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</si>
  <si>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</si>
  <si>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</si>
  <si>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</si>
  <si>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</si>
  <si>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</si>
  <si>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</si>
  <si>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</si>
  <si>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</si>
  <si>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</si>
  <si>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</si>
  <si>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</si>
  <si>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</si>
  <si>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</si>
  <si>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</si>
  <si>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</si>
  <si>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</si>
  <si>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</si>
  <si>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</si>
  <si>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</si>
  <si>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</si>
  <si>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</si>
  <si>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</si>
  <si>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</si>
  <si>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</si>
  <si>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</si>
  <si>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</si>
  <si>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</si>
  <si>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</si>
  <si>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</si>
  <si>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</si>
  <si>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</si>
  <si>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</si>
  <si>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</si>
  <si>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</si>
  <si>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</si>
  <si>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</si>
  <si>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</si>
  <si>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</si>
  <si>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</si>
  <si>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</si>
  <si>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</si>
  <si>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</si>
  <si>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</si>
  <si>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</si>
  <si>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</si>
  <si>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</si>
  <si>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</si>
  <si>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</si>
  <si>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</si>
  <si>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</si>
  <si>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</si>
  <si>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</si>
  <si>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</si>
  <si>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</si>
  <si>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</si>
  <si>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</si>
  <si>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</si>
  <si>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</si>
  <si>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</si>
  <si>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</si>
  <si>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</si>
  <si>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</si>
  <si>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</si>
  <si>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</si>
  <si>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</si>
  <si>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</si>
  <si>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</si>
  <si>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</si>
  <si>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</si>
  <si>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</si>
  <si>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</si>
  <si>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</si>
  <si>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</si>
  <si>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</si>
  <si>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</si>
  <si>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</si>
  <si>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</si>
  <si>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</si>
  <si>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</si>
  <si>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</si>
  <si>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</si>
  <si>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</si>
  <si>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</si>
  <si>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</si>
  <si>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</si>
  <si>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</si>
  <si>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</si>
  <si>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</si>
  <si>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</si>
  <si>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</si>
  <si>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</si>
  <si>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</si>
  <si>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</si>
  <si>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</si>
  <si>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</si>
  <si>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</si>
  <si>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</si>
  <si>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</si>
  <si>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</si>
  <si>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</si>
  <si>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</si>
  <si>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</si>
  <si>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</si>
  <si>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</si>
  <si>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</si>
  <si>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</si>
  <si>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</si>
  <si>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</si>
  <si>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</si>
  <si>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</si>
  <si>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</si>
  <si>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</si>
  <si>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</si>
  <si>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</si>
  <si>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</si>
  <si>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</si>
  <si>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</si>
  <si>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</si>
  <si>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</si>
  <si>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</si>
  <si>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</si>
  <si>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</si>
  <si>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</si>
  <si>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</si>
  <si>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</si>
  <si>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</si>
  <si>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</si>
  <si>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</si>
  <si>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</si>
  <si>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</si>
  <si>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</si>
  <si>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</si>
  <si>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</si>
  <si>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</si>
  <si>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</si>
  <si>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</si>
  <si>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</si>
  <si>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</si>
  <si>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</si>
  <si>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</si>
  <si>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</si>
  <si>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</si>
  <si>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</si>
  <si>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</si>
  <si>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</si>
  <si>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</si>
  <si>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</si>
  <si>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</si>
  <si>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</si>
  <si>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</si>
  <si>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</si>
  <si>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</si>
  <si>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</si>
  <si>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</si>
  <si>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</si>
  <si>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</si>
  <si>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</si>
  <si>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</si>
  <si>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</si>
  <si>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</si>
  <si>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</si>
  <si>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</si>
  <si>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</si>
  <si>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</si>
  <si>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</si>
  <si>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</si>
  <si>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</si>
  <si>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</si>
  <si>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</si>
  <si>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</si>
  <si>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</si>
  <si>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</si>
  <si>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</si>
  <si>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</si>
  <si>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</si>
  <si>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</si>
  <si>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</si>
  <si>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</si>
  <si>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</si>
  <si>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</si>
  <si>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</si>
  <si>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</si>
  <si>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</si>
  <si>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</si>
  <si>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</si>
  <si>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</si>
  <si>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</si>
  <si>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</si>
  <si>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</si>
  <si>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</si>
  <si>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</si>
  <si>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</si>
  <si>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</si>
  <si>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</si>
  <si>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</si>
  <si>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</si>
  <si>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</si>
  <si>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</si>
  <si>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</si>
  <si>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</si>
  <si>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</si>
  <si>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</si>
  <si>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</si>
  <si>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</si>
  <si>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</si>
  <si>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</si>
  <si>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</si>
  <si>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</si>
  <si>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</si>
  <si>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</si>
  <si>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</si>
  <si>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</si>
  <si>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</si>
  <si>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</si>
  <si>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</si>
  <si>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</si>
  <si>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</si>
  <si>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</si>
  <si>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</si>
  <si>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</si>
  <si>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</si>
  <si>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</si>
  <si>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</si>
  <si>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</si>
  <si>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</si>
  <si>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</si>
  <si>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</si>
  <si>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</si>
  <si>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</si>
  <si>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</si>
  <si>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</si>
  <si>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</si>
  <si>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</si>
  <si>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</si>
  <si>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</si>
  <si>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</si>
  <si>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</si>
  <si>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</si>
  <si>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</si>
  <si>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</si>
  <si>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</si>
  <si>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</si>
  <si>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</si>
  <si>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</si>
  <si>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</si>
  <si>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</si>
  <si>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</si>
  <si>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</si>
  <si>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</si>
  <si>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</si>
  <si>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</si>
  <si>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</si>
  <si>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</si>
  <si>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</si>
  <si>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</si>
  <si>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</si>
  <si>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</si>
  <si>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</si>
  <si>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</si>
  <si>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</si>
  <si>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</si>
  <si>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</si>
  <si>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</si>
  <si>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</si>
  <si>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</si>
  <si>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</si>
  <si>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</si>
  <si>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</si>
  <si>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</si>
  <si>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</si>
  <si>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</si>
  <si>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</si>
  <si>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</si>
  <si>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</si>
  <si>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</si>
  <si>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</si>
  <si>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</si>
  <si>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</si>
  <si>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</si>
  <si>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</si>
  <si>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</si>
  <si>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</si>
  <si>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</si>
  <si>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</si>
  <si>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</si>
  <si>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</si>
  <si>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</si>
  <si>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</si>
  <si>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</si>
  <si>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</si>
  <si>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</si>
  <si>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</si>
  <si>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</si>
  <si>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</si>
  <si>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</si>
  <si>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</si>
  <si>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</si>
  <si>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</si>
  <si>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</si>
  <si>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</si>
  <si>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</si>
  <si>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</si>
  <si>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</si>
  <si>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</si>
  <si>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</si>
  <si>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</si>
  <si>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</si>
  <si>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</si>
  <si>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</si>
  <si>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</si>
  <si>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</si>
  <si>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</si>
  <si>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</si>
  <si>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</si>
  <si>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</si>
  <si>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</si>
  <si>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</si>
  <si>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</si>
  <si>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</si>
  <si>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</si>
  <si>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</si>
  <si>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</si>
  <si>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</si>
  <si>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</si>
  <si>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</si>
  <si>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</si>
  <si>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</si>
  <si>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</si>
  <si>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</si>
  <si>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</si>
  <si>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</si>
  <si>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</si>
  <si>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</si>
  <si>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</si>
  <si>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</si>
  <si>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</si>
  <si>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</si>
  <si>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</si>
  <si>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</si>
  <si>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</si>
  <si>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</si>
  <si>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</si>
  <si>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</si>
  <si>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</si>
  <si>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</si>
  <si>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</si>
  <si>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</si>
  <si>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</si>
  <si>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</si>
  <si>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</si>
  <si>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</si>
  <si>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</si>
  <si>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</si>
  <si>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</si>
  <si>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</si>
  <si>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</si>
  <si>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</si>
  <si>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</si>
  <si>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</si>
  <si>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</si>
  <si>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</si>
  <si>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</si>
  <si>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</si>
  <si>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</si>
  <si>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</si>
  <si>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</si>
  <si>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</si>
  <si>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</si>
  <si>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</si>
  <si>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</si>
  <si>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</si>
  <si>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</si>
  <si>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</si>
  <si>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</si>
  <si>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</si>
  <si>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</si>
  <si>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</si>
  <si>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</si>
  <si>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</si>
  <si>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</si>
  <si>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</si>
  <si>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</si>
  <si>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</si>
  <si>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</si>
  <si>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</si>
  <si>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</si>
  <si>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</si>
  <si>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</si>
  <si>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</si>
  <si>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</si>
  <si>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</si>
  <si>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</si>
  <si>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</si>
  <si>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</si>
  <si>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</si>
  <si>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</si>
  <si>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</si>
  <si>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</si>
  <si>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</si>
  <si>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</si>
  <si>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</si>
  <si>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</si>
  <si>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</si>
  <si>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</si>
  <si>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</si>
  <si>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</si>
  <si>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</si>
  <si>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</si>
  <si>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</si>
  <si>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</si>
  <si>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</si>
  <si>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</si>
  <si>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</si>
  <si>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</si>
  <si>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</si>
  <si>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</si>
  <si>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</si>
  <si>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</si>
  <si>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</si>
  <si>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</si>
  <si>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</si>
  <si>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</si>
  <si>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</si>
  <si>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</si>
  <si>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</si>
  <si>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</si>
  <si>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</si>
  <si>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</si>
  <si>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</si>
  <si>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</si>
  <si>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</si>
  <si>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</si>
  <si>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</si>
  <si>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</si>
  <si>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</si>
  <si>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</si>
  <si>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</si>
  <si>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</si>
  <si>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</si>
  <si>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</si>
  <si>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</si>
  <si>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</si>
  <si>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</si>
  <si>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</si>
  <si>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</si>
  <si>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</si>
  <si>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</si>
  <si>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</si>
  <si>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</si>
  <si>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</si>
  <si>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</si>
  <si>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</si>
  <si>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</si>
  <si>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</si>
  <si>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</si>
  <si>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</si>
  <si>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</si>
  <si>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</si>
  <si>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</si>
  <si>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</si>
  <si>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</si>
  <si>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</si>
  <si>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</si>
  <si>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</si>
  <si>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</si>
  <si>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</si>
  <si>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</si>
  <si>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</si>
  <si>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</si>
  <si>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</si>
  <si>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</si>
  <si>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</si>
  <si>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</si>
  <si>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</si>
  <si>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</si>
  <si>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</si>
  <si>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</si>
  <si>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</si>
  <si>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</si>
  <si>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</si>
  <si>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</si>
  <si>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</si>
  <si>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</si>
  <si>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</si>
  <si>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</si>
  <si>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</si>
  <si>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</si>
  <si>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</si>
  <si>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</si>
  <si>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</si>
  <si>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</si>
  <si>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</si>
  <si>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</si>
  <si>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</si>
  <si>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</si>
  <si>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</si>
  <si>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</si>
  <si>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</si>
  <si>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</si>
  <si>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</si>
  <si>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</si>
  <si>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</si>
  <si>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</si>
  <si>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</si>
  <si>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</si>
  <si>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</si>
  <si>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</si>
  <si>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</si>
  <si>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</si>
  <si>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</si>
  <si>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</si>
  <si>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</si>
  <si>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</si>
  <si>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</si>
  <si>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</si>
  <si>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</si>
  <si>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</si>
  <si>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</si>
  <si>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</si>
  <si>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</si>
  <si>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</si>
  <si>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</si>
  <si>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</si>
  <si>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</si>
  <si>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</si>
  <si>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</si>
  <si>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</si>
  <si>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</si>
  <si>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</si>
  <si>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</si>
  <si>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</si>
  <si>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</si>
  <si>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</si>
  <si>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</si>
  <si>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</si>
  <si>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</si>
  <si>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</si>
  <si>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</si>
  <si>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</si>
  <si>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</si>
  <si>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</si>
  <si>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</si>
  <si>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</si>
  <si>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</si>
  <si>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</si>
  <si>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</si>
  <si>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</si>
  <si>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</si>
  <si>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</si>
  <si>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</si>
  <si>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</si>
  <si>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</si>
  <si>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</si>
  <si>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</si>
  <si>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</si>
  <si>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</si>
  <si>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</si>
  <si>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</si>
  <si>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</si>
  <si>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</si>
  <si>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</si>
  <si>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</si>
  <si>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</si>
  <si>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</si>
  <si>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</si>
  <si>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</si>
  <si>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</si>
  <si>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</si>
  <si>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</si>
  <si>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</si>
  <si>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</si>
  <si>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</si>
  <si>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</si>
  <si>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</si>
  <si>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</si>
  <si>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</si>
  <si>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</si>
  <si>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</si>
  <si>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</si>
  <si>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</si>
  <si>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</si>
  <si>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</si>
  <si>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</si>
  <si>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</si>
  <si>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</si>
  <si>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</si>
  <si>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</si>
  <si>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</si>
  <si>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</si>
  <si>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</si>
  <si>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</si>
  <si>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</si>
  <si>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</si>
  <si>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</si>
  <si>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</si>
  <si>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</si>
  <si>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</si>
  <si>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</si>
  <si>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</si>
  <si>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</si>
  <si>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</si>
  <si>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</si>
  <si>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</si>
  <si>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</si>
  <si>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</si>
  <si>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</si>
  <si>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</si>
  <si>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</si>
  <si>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</si>
  <si>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</si>
  <si>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</si>
  <si>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</si>
  <si>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</si>
  <si>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</si>
  <si>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</si>
  <si>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</si>
  <si>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</si>
  <si>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</si>
  <si>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</si>
  <si>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</si>
  <si>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</si>
  <si>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</si>
  <si>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</si>
  <si>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</si>
  <si>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</si>
  <si>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</si>
  <si>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</si>
  <si>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</si>
  <si>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</si>
  <si>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</si>
  <si>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</si>
  <si>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</si>
  <si>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</si>
  <si>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</si>
  <si>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</si>
  <si>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</si>
  <si>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</si>
  <si>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</si>
  <si>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</si>
  <si>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</si>
  <si>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</si>
  <si>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</si>
  <si>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</si>
  <si>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</si>
  <si>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</si>
  <si>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</si>
  <si>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</si>
  <si>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</si>
  <si>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</si>
  <si>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</si>
  <si>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</si>
  <si>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</si>
  <si>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</si>
  <si>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</si>
  <si>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</si>
  <si>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</si>
  <si>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</si>
  <si>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</si>
  <si>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</si>
  <si>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</si>
  <si>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</si>
  <si>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</si>
  <si>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</si>
  <si>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</si>
  <si>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</si>
  <si>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</si>
  <si>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</si>
  <si>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</si>
  <si>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</si>
  <si>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</si>
  <si>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</si>
  <si>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</si>
  <si>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</si>
  <si>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</si>
  <si>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</si>
  <si>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</si>
  <si>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</si>
  <si>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</si>
  <si>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</si>
  <si>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</si>
  <si>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</si>
  <si>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</si>
  <si>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</si>
  <si>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</si>
  <si>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</si>
  <si>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</si>
  <si>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</si>
  <si>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</si>
  <si>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</si>
  <si>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</si>
  <si>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</si>
  <si>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</si>
  <si>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</si>
  <si>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</si>
  <si>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</si>
  <si>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</si>
  <si>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</si>
  <si>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</si>
  <si>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</si>
  <si>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</si>
  <si>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</si>
  <si>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</si>
  <si>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</si>
  <si>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</si>
  <si>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</si>
  <si>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</si>
  <si>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</si>
  <si>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</si>
  <si>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</si>
  <si>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</si>
  <si>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</si>
  <si>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</si>
  <si>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</si>
  <si>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</si>
  <si>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</si>
  <si>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</si>
  <si>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</si>
  <si>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</si>
  <si>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</si>
  <si>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</si>
  <si>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</si>
  <si>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</si>
  <si>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</si>
  <si>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</si>
  <si>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</si>
  <si>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</si>
  <si>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</si>
  <si>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</si>
  <si>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</si>
  <si>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</si>
  <si>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</si>
  <si>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</si>
  <si>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</si>
  <si>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</si>
  <si>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</si>
  <si>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</si>
  <si>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</si>
  <si>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</si>
  <si>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</si>
  <si>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</si>
  <si>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</si>
  <si>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</si>
  <si>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</si>
  <si>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</si>
  <si>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</si>
  <si>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</si>
  <si>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</si>
  <si>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</si>
  <si>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</si>
  <si>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</si>
  <si>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</si>
  <si>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</si>
  <si>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</si>
  <si>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</si>
  <si>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</si>
  <si>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</si>
  <si>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</si>
  <si>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</si>
  <si>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</si>
  <si>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</si>
  <si>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</si>
  <si>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</si>
  <si>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</si>
  <si>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</si>
  <si>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</si>
  <si>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</si>
  <si>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</si>
  <si>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</si>
  <si>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</si>
  <si>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</si>
  <si>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</si>
  <si>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</si>
  <si>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</si>
  <si>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</si>
  <si>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</si>
  <si>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</si>
  <si>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</si>
  <si>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</si>
  <si>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</si>
  <si>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</si>
  <si>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</si>
  <si>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</si>
  <si>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</si>
  <si>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</si>
  <si>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</si>
  <si>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</si>
  <si>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</si>
  <si>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</si>
  <si>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</si>
  <si>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</si>
  <si>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</si>
  <si>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</si>
  <si>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</si>
  <si>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</si>
  <si>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</si>
  <si>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</si>
  <si>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</si>
  <si>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</si>
  <si>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</si>
  <si>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</si>
  <si>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</si>
  <si>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</si>
  <si>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</si>
  <si>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</si>
  <si>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</si>
  <si>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</si>
  <si>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</si>
  <si>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</si>
  <si>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</si>
  <si>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</si>
  <si>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</si>
  <si>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</si>
  <si>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</si>
  <si>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</si>
  <si>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</si>
  <si>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</si>
  <si>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</si>
  <si>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</si>
  <si>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</si>
  <si>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</si>
  <si>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</si>
  <si>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</si>
  <si>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</si>
  <si>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</si>
  <si>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</si>
  <si>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</si>
  <si>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</si>
  <si>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</si>
  <si>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</si>
  <si>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</si>
  <si>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</si>
  <si>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</si>
  <si>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</si>
  <si>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</si>
  <si>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</si>
  <si>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</si>
  <si>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</si>
  <si>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</si>
  <si>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</si>
  <si>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</si>
  <si>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</si>
  <si>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</si>
  <si>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</si>
  <si>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</si>
  <si>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</si>
  <si>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</si>
  <si>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</si>
  <si>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</si>
  <si>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</si>
  <si>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</si>
  <si>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</si>
  <si>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</si>
  <si>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</si>
  <si>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</si>
  <si>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</si>
  <si>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</si>
  <si>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</si>
  <si>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</si>
  <si>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</si>
  <si>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</si>
  <si>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</si>
  <si>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</si>
  <si>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</si>
  <si>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</si>
  <si>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</si>
  <si>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</si>
  <si>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</si>
  <si>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</si>
  <si>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</si>
  <si>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</si>
  <si>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</si>
  <si>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</si>
  <si>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</si>
  <si>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</si>
  <si>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</si>
  <si>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</si>
  <si>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</si>
  <si>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</si>
  <si>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</si>
  <si>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</si>
  <si>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</si>
  <si>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</si>
  <si>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</si>
  <si>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</si>
  <si>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</si>
  <si>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</si>
  <si>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</si>
  <si>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</si>
  <si>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</si>
  <si>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</si>
  <si>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</si>
  <si>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</si>
  <si>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</si>
  <si>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</si>
  <si>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</si>
  <si>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</si>
  <si>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</si>
  <si>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</si>
  <si>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</si>
  <si>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</si>
  <si>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</si>
  <si>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</si>
  <si>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</si>
  <si>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</si>
  <si>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</si>
  <si>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</si>
  <si>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</si>
  <si>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</si>
  <si>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</si>
  <si>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</si>
  <si>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</si>
  <si>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</si>
  <si>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</si>
  <si>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</si>
  <si>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</si>
  <si>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</si>
  <si>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</si>
  <si>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</si>
  <si>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</si>
  <si>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</si>
  <si>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</si>
  <si>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</si>
  <si>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</si>
  <si>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</si>
  <si>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</si>
  <si>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</si>
  <si>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</si>
  <si>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</si>
  <si>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</si>
  <si>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</si>
  <si>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</si>
  <si>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</si>
  <si>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</si>
  <si>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</si>
  <si>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</si>
  <si>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</si>
  <si>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</si>
  <si>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</si>
  <si>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</si>
  <si>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</si>
  <si>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</si>
  <si>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</si>
  <si>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</si>
  <si>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</si>
  <si>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</si>
  <si>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</si>
  <si>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</si>
  <si>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</si>
  <si>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</si>
  <si>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</si>
  <si>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</si>
  <si>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</si>
  <si>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</si>
  <si>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</si>
  <si>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</si>
  <si>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</si>
  <si>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</si>
  <si>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</si>
  <si>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</si>
  <si>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</si>
  <si>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</si>
  <si>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</si>
  <si>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</si>
  <si>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</si>
  <si>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</si>
  <si>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</si>
  <si>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</si>
  <si>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</si>
  <si>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</si>
  <si>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</si>
  <si>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</si>
  <si>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</si>
  <si>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</si>
  <si>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</si>
  <si>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</si>
  <si>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</si>
  <si>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</si>
  <si>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</si>
  <si>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</si>
  <si>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</si>
  <si>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</si>
  <si>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</si>
  <si>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</si>
  <si>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</si>
  <si>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</si>
  <si>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</si>
  <si>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</si>
  <si>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</si>
  <si>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</si>
  <si>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</si>
  <si>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</si>
  <si>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</si>
  <si>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</si>
  <si>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</si>
  <si>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</si>
  <si>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</si>
  <si>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</si>
  <si>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</si>
  <si>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</si>
  <si>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</si>
  <si>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</si>
  <si>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</si>
  <si>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</si>
  <si>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</si>
  <si>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</si>
  <si>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</si>
  <si>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</si>
  <si>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</si>
  <si>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</si>
  <si>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</si>
  <si>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</si>
  <si>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</si>
  <si>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</si>
  <si>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</si>
  <si>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</si>
  <si>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</si>
  <si>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</si>
  <si>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</si>
  <si>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</si>
  <si>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</si>
  <si>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</si>
  <si>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</si>
  <si>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</si>
  <si>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</si>
  <si>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</si>
  <si>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</si>
  <si>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</si>
  <si>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</si>
  <si>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</si>
  <si>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</si>
  <si>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</si>
  <si>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</si>
  <si>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</si>
  <si>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</si>
  <si>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</si>
  <si>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</si>
  <si>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</si>
  <si>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</si>
  <si>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</si>
  <si>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</si>
  <si>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</si>
  <si>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</si>
  <si>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</si>
  <si>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</si>
  <si>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</si>
  <si>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</si>
  <si>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</si>
  <si>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</si>
  <si>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</si>
  <si>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</si>
  <si>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</si>
  <si>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</si>
  <si>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</si>
  <si>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</si>
  <si>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</si>
  <si>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</si>
  <si>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</si>
  <si>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</si>
  <si>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</si>
  <si>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</si>
  <si>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</si>
  <si>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</si>
  <si>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</si>
  <si>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</si>
  <si>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</si>
  <si>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</si>
  <si>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</si>
  <si>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</si>
  <si>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</si>
  <si>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</si>
  <si>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</si>
  <si>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</si>
  <si>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</si>
  <si>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</si>
  <si>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</si>
  <si>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</si>
  <si>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</si>
  <si>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</si>
  <si>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</si>
  <si>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</si>
  <si>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</si>
  <si>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</si>
  <si>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</si>
  <si>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</si>
  <si>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</si>
  <si>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</si>
  <si>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</si>
  <si>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</si>
  <si>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</si>
  <si>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</si>
  <si>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</si>
  <si>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</si>
  <si>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</si>
  <si>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</si>
  <si>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</si>
  <si>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</si>
  <si>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</si>
  <si>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</si>
  <si>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</si>
  <si>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</si>
  <si>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</si>
  <si>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</si>
  <si>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</si>
  <si>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</si>
  <si>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</si>
  <si>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</si>
  <si>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</si>
  <si>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</si>
  <si>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</si>
  <si>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</si>
  <si>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</si>
  <si>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</si>
  <si>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</si>
  <si>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</si>
  <si>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</si>
  <si>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</si>
  <si>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</si>
  <si>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</si>
  <si>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</si>
  <si>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</si>
  <si>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</si>
  <si>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</si>
  <si>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</si>
  <si>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</si>
  <si>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</si>
  <si>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</si>
  <si>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</si>
  <si>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</si>
  <si>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</si>
  <si>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</si>
  <si>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</si>
  <si>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</si>
  <si>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</si>
  <si>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</si>
  <si>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</si>
  <si>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</si>
  <si>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</si>
  <si>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</si>
  <si>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</si>
  <si>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</si>
  <si>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</si>
  <si>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</si>
  <si>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</si>
  <si>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</si>
  <si>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</si>
  <si>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</si>
  <si>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</si>
  <si>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</si>
  <si>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</si>
  <si>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</si>
  <si>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</si>
  <si>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</si>
  <si>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</si>
  <si>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</si>
  <si>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</si>
  <si>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</si>
  <si>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</si>
  <si>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</si>
  <si>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</si>
  <si>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</si>
  <si>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</si>
  <si>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</si>
  <si>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</si>
  <si>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</si>
  <si>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</si>
  <si>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</si>
  <si>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</si>
  <si>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</si>
  <si>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</si>
  <si>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</si>
  <si>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</si>
  <si>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</si>
  <si>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</si>
  <si>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</si>
  <si>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</si>
  <si>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</si>
  <si>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</si>
  <si>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</si>
  <si>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</si>
  <si>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</si>
  <si>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</si>
  <si>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</si>
  <si>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</si>
  <si>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</si>
  <si>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</si>
  <si>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</si>
  <si>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</si>
  <si>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</si>
  <si>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</si>
  <si>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</si>
  <si>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</si>
  <si>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</si>
  <si>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</si>
  <si>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</si>
  <si>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</si>
  <si>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</si>
  <si>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</si>
  <si>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</si>
  <si>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</si>
  <si>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</si>
  <si>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</si>
  <si>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</si>
  <si>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</si>
  <si>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</si>
  <si>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</si>
  <si>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</si>
  <si>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</si>
  <si>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</si>
  <si>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</si>
  <si>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</si>
  <si>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</si>
  <si>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</si>
  <si>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</si>
  <si>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</si>
  <si>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</si>
  <si>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</si>
  <si>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</si>
  <si>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B4</t>
  </si>
  <si>
    <t>Iluminação pública</t>
  </si>
  <si>
    <t>Iluminação pública – B4a</t>
  </si>
  <si>
    <t>IRRIG./AQUIC.</t>
  </si>
  <si>
    <t>IRRIG./AQUIC. PR</t>
  </si>
  <si>
    <t>Aquicultura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</si>
  <si>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</si>
  <si>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</si>
  <si>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</si>
  <si>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</si>
  <si>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</si>
  <si>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</si>
  <si>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</si>
  <si>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</si>
  <si>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</si>
  <si>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</si>
  <si>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</si>
  <si>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</si>
  <si>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</si>
  <si>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 xml:space="preserve">Hélvio Neves Guerra </t>
  </si>
  <si>
    <t>48500.004970/2021-11</t>
  </si>
  <si>
    <t>EUSD</t>
  </si>
  <si>
    <t>A4 (2,3 a 25 kV)</t>
  </si>
  <si>
    <t>Refaturamento - Regular</t>
  </si>
  <si>
    <t>Sistema de Compensação</t>
  </si>
  <si>
    <t>Água, esgoto e saneamento</t>
  </si>
  <si>
    <t>Agropecuária rural</t>
  </si>
  <si>
    <t>CERAÇÁ - COOPERATIVA DISTRIBUIDORA DE ENERGIA VALE DO ARAÇÁ</t>
  </si>
  <si>
    <t>101453998</t>
  </si>
  <si>
    <t>101454000</t>
  </si>
  <si>
    <t>131729429</t>
  </si>
  <si>
    <t>131729430</t>
  </si>
  <si>
    <t>135327065</t>
  </si>
  <si>
    <t>135514881</t>
  </si>
  <si>
    <t>138571865</t>
  </si>
  <si>
    <t>138571871</t>
  </si>
  <si>
    <t>140932539</t>
  </si>
  <si>
    <t>142427264</t>
  </si>
  <si>
    <t>144215449</t>
  </si>
  <si>
    <t>144215505</t>
  </si>
  <si>
    <t>144569030</t>
  </si>
  <si>
    <t>146107763</t>
  </si>
  <si>
    <t>147983700</t>
  </si>
  <si>
    <t>147985290</t>
  </si>
  <si>
    <t>147985294</t>
  </si>
  <si>
    <t>151931960</t>
  </si>
  <si>
    <t>151931963</t>
  </si>
  <si>
    <t>151933261</t>
  </si>
  <si>
    <t>156062931</t>
  </si>
  <si>
    <t>156062943</t>
  </si>
  <si>
    <t>156063229</t>
  </si>
  <si>
    <t>160772102</t>
  </si>
  <si>
    <t>160944568</t>
  </si>
  <si>
    <t>161284299</t>
  </si>
  <si>
    <t>79236298</t>
  </si>
  <si>
    <t>79236299</t>
  </si>
  <si>
    <t>82760305</t>
  </si>
  <si>
    <t>82760306</t>
  </si>
  <si>
    <t>85876519</t>
  </si>
  <si>
    <t>88840758</t>
  </si>
  <si>
    <t>88840759</t>
  </si>
  <si>
    <t>Azul</t>
  </si>
  <si>
    <t>BURRO BRANCO I</t>
  </si>
  <si>
    <t>GERAÇÃO</t>
  </si>
  <si>
    <t>OF. Nº 038/2022-DISTRIB de 30/08/22</t>
  </si>
  <si>
    <t>Diferimento de Parcela B</t>
  </si>
  <si>
    <t>Diferimento de Energia</t>
  </si>
  <si>
    <t xml:space="preserve">Repasse de ICMS </t>
  </si>
  <si>
    <t>Diferimento de PIS COFINS</t>
  </si>
  <si>
    <t>Reversão 2021</t>
  </si>
  <si>
    <t>Diferimento 2022</t>
  </si>
  <si>
    <t>Diferimento total</t>
  </si>
  <si>
    <t>PIS-COFINS 2021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</si>
  <si>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</si>
  <si>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</si>
  <si>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</si>
  <si>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</si>
  <si>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</si>
  <si>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164663584</t>
  </si>
  <si>
    <t>164663801</t>
  </si>
  <si>
    <t>164663818</t>
  </si>
  <si>
    <t>Subvenção Baixa Densidade Carga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</si>
  <si>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</si>
  <si>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</si>
  <si>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</si>
  <si>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</si>
  <si>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</si>
  <si>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</si>
  <si>
    <t>Diferimento da Previsão do Risco Hidrológico</t>
  </si>
  <si>
    <t>Diferimento CUSD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</si>
</sst>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9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#,##0_ ;[Red]\-#,##0\ "/>
    <numFmt numFmtId="277" formatCode="_(&quot;R$&quot;* #,##0.00_);_(&quot;R$&quot;* \(#,##0.00\);_(&quot;R$&quot;* &quot;-&quot;??_);_(@_)"/>
    <numFmt numFmtId="278" formatCode="[$-409]dd/mm/yyyy"/>
    <numFmt numFmtId="279" formatCode="mmm/yyyy"/>
  </numFmts>
  <fonts count="331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name val="Microsoft New Tai Lue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6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7" fontId="61" fillId="0" borderId="0">
      <alignment vertical="top"/>
    </xf>
    <xf numFmtId="178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79" fontId="43" fillId="0" borderId="0" applyFill="0" applyBorder="0" applyAlignment="0"/>
    <xf numFmtId="177" fontId="66" fillId="0" borderId="0" applyFill="0" applyBorder="0" applyAlignment="0"/>
    <xf numFmtId="173" fontId="66" fillId="0" borderId="0" applyFill="0" applyBorder="0" applyAlignment="0"/>
    <xf numFmtId="174" fontId="48" fillId="0" borderId="0" applyFill="0" applyBorder="0" applyAlignment="0"/>
    <xf numFmtId="180" fontId="33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7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7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7" fontId="115" fillId="0" borderId="0" applyFont="0" applyFill="0" applyBorder="0" applyAlignment="0" applyProtection="0"/>
    <xf numFmtId="177" fontId="66" fillId="0" borderId="0" applyFont="0" applyFill="0" applyBorder="0" applyAlignment="0" applyProtection="0"/>
    <xf numFmtId="198" fontId="115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64" fillId="0" borderId="0">
      <protection locked="0"/>
    </xf>
    <xf numFmtId="168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2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3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4" fontId="33" fillId="0" borderId="0">
      <protection locked="0"/>
    </xf>
    <xf numFmtId="185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9" fillId="0" borderId="8" applyNumberFormat="0" applyFill="0" applyAlignment="0" applyProtection="0"/>
    <xf numFmtId="166" fontId="31" fillId="0" borderId="0" applyFont="0" applyFill="0" applyBorder="0" applyAlignment="0" applyProtection="0"/>
    <xf numFmtId="187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8" fontId="91" fillId="0" borderId="0"/>
    <xf numFmtId="189" fontId="92" fillId="0" borderId="0"/>
    <xf numFmtId="190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6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2" fontId="64" fillId="0" borderId="0">
      <protection locked="0"/>
    </xf>
    <xf numFmtId="193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6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7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2" fontId="33" fillId="0" borderId="0"/>
    <xf numFmtId="202" fontId="33" fillId="0" borderId="0"/>
    <xf numFmtId="202" fontId="33" fillId="0" borderId="0"/>
    <xf numFmtId="202" fontId="33" fillId="0" borderId="0"/>
    <xf numFmtId="189" fontId="119" fillId="0" borderId="0"/>
    <xf numFmtId="190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3" fontId="73" fillId="0" borderId="0"/>
    <xf numFmtId="183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9" fontId="33" fillId="0" borderId="0"/>
    <xf numFmtId="0" fontId="121" fillId="0" borderId="0"/>
    <xf numFmtId="0" fontId="33" fillId="0" borderId="0"/>
    <xf numFmtId="0" fontId="30" fillId="0" borderId="0"/>
    <xf numFmtId="169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7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6" fontId="44" fillId="0" borderId="0" applyFont="0" applyFill="0" applyBorder="0" applyAlignment="0" applyProtection="0"/>
    <xf numFmtId="205" fontId="127" fillId="0" borderId="0" applyFill="0" applyBorder="0" applyProtection="0">
      <alignment horizontal="right"/>
      <protection locked="0"/>
    </xf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6" fontId="127" fillId="0" borderId="0" applyFont="0" applyFill="0" applyBorder="0" applyAlignment="0"/>
    <xf numFmtId="207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8" fontId="119" fillId="0" borderId="0" applyFill="0" applyBorder="0" applyProtection="0">
      <alignment horizontal="right"/>
      <protection locked="0"/>
    </xf>
    <xf numFmtId="209" fontId="127" fillId="0" borderId="41" applyFont="0" applyFill="0" applyBorder="0" applyAlignment="0"/>
    <xf numFmtId="210" fontId="127" fillId="0" borderId="0" applyFill="0" applyBorder="0" applyProtection="0">
      <alignment horizontal="right"/>
      <protection locked="0"/>
    </xf>
    <xf numFmtId="211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7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8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6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2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12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7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6" fontId="27" fillId="0" borderId="0" applyFont="0" applyFill="0" applyBorder="0" applyAlignment="0" applyProtection="0"/>
    <xf numFmtId="0" fontId="89" fillId="31" borderId="0" applyNumberFormat="0" applyBorder="0" applyAlignment="0" applyProtection="0"/>
    <xf numFmtId="189" fontId="119" fillId="0" borderId="0"/>
    <xf numFmtId="189" fontId="119" fillId="0" borderId="0"/>
    <xf numFmtId="190" fontId="119" fillId="0" borderId="0"/>
    <xf numFmtId="190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7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6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09" fontId="127" fillId="0" borderId="56" applyFont="0" applyFill="0" applyBorder="0" applyAlignment="0"/>
    <xf numFmtId="166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6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09" fontId="127" fillId="0" borderId="62" applyFont="0" applyFill="0" applyBorder="0" applyAlignment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6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09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6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09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6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09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09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09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6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6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6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09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8" fontId="92" fillId="0" borderId="0" applyFill="0" applyBorder="0" applyProtection="0">
      <alignment horizontal="right"/>
      <protection locked="0"/>
    </xf>
    <xf numFmtId="211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6" fontId="3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86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09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09" fontId="127" fillId="0" borderId="85" applyFont="0" applyFill="0" applyBorder="0" applyAlignment="0"/>
    <xf numFmtId="209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6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1" fontId="64" fillId="0" borderId="0">
      <protection locked="0"/>
    </xf>
    <xf numFmtId="191" fontId="64" fillId="0" borderId="0">
      <protection locked="0"/>
    </xf>
    <xf numFmtId="191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3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3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6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3" fontId="33" fillId="0" borderId="0"/>
    <xf numFmtId="180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7" fontId="158" fillId="0" borderId="0">
      <alignment horizontal="right"/>
    </xf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21" fontId="122" fillId="0" borderId="63" applyAlignment="0" applyProtection="0"/>
    <xf numFmtId="220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219" fontId="67" fillId="26" borderId="93" applyNumberFormat="0" applyAlignment="0" applyProtection="0"/>
    <xf numFmtId="220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22" fontId="33" fillId="0" borderId="0" applyFont="0" applyFill="0" applyBorder="0" applyAlignment="0" applyProtection="0"/>
    <xf numFmtId="223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4" fontId="161" fillId="0" borderId="0"/>
    <xf numFmtId="224" fontId="161" fillId="0" borderId="0"/>
    <xf numFmtId="212" fontId="127" fillId="0" borderId="0" applyFill="0" applyBorder="0" applyAlignment="0" applyProtection="0"/>
    <xf numFmtId="40" fontId="127" fillId="0" borderId="0" applyFill="0" applyBorder="0" applyAlignment="0" applyProtection="0"/>
    <xf numFmtId="225" fontId="127" fillId="82" borderId="0" applyFill="0" applyBorder="0" applyAlignment="0">
      <alignment vertical="top"/>
    </xf>
    <xf numFmtId="226" fontId="127" fillId="0" borderId="0" applyFill="0" applyBorder="0" applyAlignment="0" applyProtection="0"/>
    <xf numFmtId="179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5" fontId="38" fillId="0" borderId="0" applyProtection="0"/>
    <xf numFmtId="222" fontId="38" fillId="0" borderId="0" applyProtection="0"/>
    <xf numFmtId="167" fontId="38" fillId="0" borderId="0" applyProtection="0"/>
    <xf numFmtId="165" fontId="86" fillId="0" borderId="0" applyProtection="0"/>
    <xf numFmtId="222" fontId="86" fillId="0" borderId="0" applyProtection="0"/>
    <xf numFmtId="167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7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1" fontId="72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2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3" fontId="33" fillId="0" borderId="0" applyFont="0" applyFill="0" applyBorder="0" applyAlignment="0" applyProtection="0"/>
    <xf numFmtId="219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228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5" fontId="64" fillId="0" borderId="0">
      <protection locked="0"/>
    </xf>
    <xf numFmtId="185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3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229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0" fontId="33" fillId="0" borderId="0" applyNumberFormat="0" applyFill="0" applyBorder="0" applyAlignment="0" applyProtection="0"/>
    <xf numFmtId="230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1" fontId="141" fillId="0" borderId="0"/>
    <xf numFmtId="231" fontId="141" fillId="0" borderId="0"/>
    <xf numFmtId="231" fontId="141" fillId="0" borderId="0"/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4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5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6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87" fontId="64" fillId="0" borderId="0">
      <protection locked="0"/>
    </xf>
    <xf numFmtId="187" fontId="64" fillId="0" borderId="0">
      <protection locked="0"/>
    </xf>
    <xf numFmtId="238" fontId="33" fillId="0" borderId="0" applyFont="0" applyFill="0" applyBorder="0" applyAlignment="0" applyProtection="0"/>
    <xf numFmtId="239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147" fillId="0" borderId="0" applyProtection="0"/>
    <xf numFmtId="240" fontId="147" fillId="0" borderId="0" applyProtection="0"/>
    <xf numFmtId="241" fontId="147" fillId="0" borderId="0" applyProtection="0"/>
    <xf numFmtId="168" fontId="147" fillId="0" borderId="0" applyProtection="0"/>
    <xf numFmtId="240" fontId="147" fillId="0" borderId="0" applyProtection="0"/>
    <xf numFmtId="241" fontId="147" fillId="0" borderId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32" fontId="141" fillId="0" borderId="0"/>
    <xf numFmtId="232" fontId="141" fillId="0" borderId="0"/>
    <xf numFmtId="232" fontId="141" fillId="0" borderId="0"/>
    <xf numFmtId="243" fontId="141" fillId="0" borderId="0">
      <alignment horizontal="right"/>
    </xf>
    <xf numFmtId="243" fontId="141" fillId="0" borderId="0">
      <alignment horizontal="right"/>
    </xf>
    <xf numFmtId="243" fontId="141" fillId="0" borderId="0">
      <alignment horizontal="right"/>
    </xf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0" fontId="31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19" fontId="33" fillId="0" borderId="0"/>
    <xf numFmtId="0" fontId="33" fillId="0" borderId="0"/>
    <xf numFmtId="220" fontId="33" fillId="0" borderId="0"/>
    <xf numFmtId="0" fontId="33" fillId="0" borderId="0"/>
    <xf numFmtId="0" fontId="33" fillId="0" borderId="0"/>
    <xf numFmtId="219" fontId="33" fillId="0" borderId="0"/>
    <xf numFmtId="220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73" fillId="0" borderId="0"/>
    <xf numFmtId="220" fontId="73" fillId="0" borderId="0"/>
    <xf numFmtId="219" fontId="33" fillId="0" borderId="0"/>
    <xf numFmtId="0" fontId="33" fillId="0" borderId="0"/>
    <xf numFmtId="220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183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20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7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4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5" fontId="127" fillId="82" borderId="0" applyFill="0" applyBorder="0" applyAlignment="0" applyProtection="0">
      <alignment vertical="top"/>
    </xf>
    <xf numFmtId="246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10" fontId="72" fillId="0" borderId="0" applyFont="0" applyFill="0" applyBorder="0" applyAlignment="0" applyProtection="0"/>
    <xf numFmtId="249" fontId="64" fillId="0" borderId="0">
      <protection locked="0"/>
    </xf>
    <xf numFmtId="192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0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19" fontId="93" fillId="26" borderId="98" applyNumberFormat="0" applyAlignment="0" applyProtection="0"/>
    <xf numFmtId="220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91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5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3" fontId="102" fillId="0" borderId="0" applyNumberFormat="0" applyFill="0" applyBorder="0" applyAlignment="0" applyProtection="0"/>
    <xf numFmtId="219" fontId="104" fillId="0" borderId="25" applyNumberFormat="0" applyFill="0" applyAlignment="0" applyProtection="0"/>
    <xf numFmtId="220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5" fillId="0" borderId="26" applyNumberFormat="0" applyFill="0" applyAlignment="0" applyProtection="0"/>
    <xf numFmtId="220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191" fontId="165" fillId="0" borderId="0">
      <protection locked="0"/>
    </xf>
    <xf numFmtId="191" fontId="165" fillId="0" borderId="0">
      <protection locked="0"/>
    </xf>
    <xf numFmtId="0" fontId="33" fillId="91" borderId="0"/>
    <xf numFmtId="0" fontId="184" fillId="26" borderId="10"/>
    <xf numFmtId="177" fontId="197" fillId="0" borderId="0">
      <alignment horizontal="left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2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88" fontId="147" fillId="0" borderId="0" applyFont="0" applyFill="0" applyBorder="0" applyAlignment="0" applyProtection="0"/>
    <xf numFmtId="188" fontId="147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4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09" fontId="127" fillId="0" borderId="110" applyFont="0" applyFill="0" applyBorder="0" applyAlignment="0"/>
    <xf numFmtId="209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7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5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7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6" fontId="44" fillId="41" borderId="0" xfId="907" applyNumberFormat="1" applyFont="1" applyFill="1"/>
    <xf numFmtId="166" fontId="138" fillId="41" borderId="0" xfId="1033" applyFont="1" applyFill="1" applyBorder="1"/>
    <xf numFmtId="166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6" fontId="44" fillId="41" borderId="0" xfId="815" applyFont="1" applyFill="1" applyBorder="1" applyAlignment="1" applyProtection="1"/>
    <xf numFmtId="166" fontId="39" fillId="41" borderId="0" xfId="907" applyNumberFormat="1" applyFont="1" applyFill="1" applyProtection="1">
      <protection hidden="1"/>
    </xf>
    <xf numFmtId="166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6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6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6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6" fontId="111" fillId="41" borderId="0" xfId="815" applyFont="1" applyFill="1" applyBorder="1"/>
    <xf numFmtId="216" fontId="44" fillId="33" borderId="0" xfId="1095" applyNumberFormat="1" applyFont="1" applyFill="1" applyBorder="1" applyAlignment="1">
      <alignment horizontal="center"/>
    </xf>
    <xf numFmtId="166" fontId="44" fillId="33" borderId="0" xfId="815" applyFont="1" applyFill="1" applyBorder="1"/>
    <xf numFmtId="216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6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6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1" fontId="33" fillId="0" borderId="0" xfId="863" applyNumberFormat="1" applyFont="1"/>
    <xf numFmtId="254" fontId="33" fillId="0" borderId="0" xfId="863" applyNumberFormat="1" applyFont="1"/>
    <xf numFmtId="0" fontId="206" fillId="0" borderId="0" xfId="0" applyFont="1"/>
    <xf numFmtId="167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6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6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3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7" fontId="206" fillId="45" borderId="0" xfId="863" applyFont="1" applyFill="1" applyBorder="1"/>
    <xf numFmtId="167" fontId="206" fillId="41" borderId="0" xfId="863" applyFont="1" applyFill="1" applyBorder="1"/>
    <xf numFmtId="167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7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7" fontId="206" fillId="41" borderId="0" xfId="43185" applyNumberFormat="1" applyFont="1" applyFill="1" applyBorder="1" applyAlignment="1" applyProtection="1">
      <alignment horizontal="right"/>
      <protection locked="0"/>
    </xf>
    <xf numFmtId="166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4" fontId="206" fillId="0" borderId="0" xfId="43184" applyFont="1" applyBorder="1"/>
    <xf numFmtId="43" fontId="206" fillId="0" borderId="0" xfId="2697" applyNumberFormat="1" applyFont="1"/>
    <xf numFmtId="164" fontId="206" fillId="0" borderId="0" xfId="2697" applyNumberFormat="1" applyFont="1"/>
    <xf numFmtId="164" fontId="210" fillId="0" borderId="0" xfId="2697" applyNumberFormat="1" applyFont="1"/>
    <xf numFmtId="166" fontId="206" fillId="0" borderId="0" xfId="815" applyFont="1"/>
    <xf numFmtId="166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6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4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6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4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69" fontId="206" fillId="0" borderId="0" xfId="863" applyNumberFormat="1" applyFont="1" applyBorder="1"/>
    <xf numFmtId="43" fontId="206" fillId="57" borderId="0" xfId="863" applyNumberFormat="1" applyFont="1" applyFill="1" applyBorder="1"/>
    <xf numFmtId="166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5" fontId="209" fillId="0" borderId="0" xfId="907" applyNumberFormat="1" applyFont="1"/>
    <xf numFmtId="167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7" fontId="206" fillId="0" borderId="0" xfId="863" applyFont="1" applyBorder="1"/>
    <xf numFmtId="43" fontId="206" fillId="0" borderId="0" xfId="0" applyNumberFormat="1" applyFont="1"/>
    <xf numFmtId="164" fontId="206" fillId="0" borderId="0" xfId="0" applyNumberFormat="1" applyFont="1"/>
    <xf numFmtId="166" fontId="206" fillId="0" borderId="0" xfId="0" applyNumberFormat="1" applyFont="1"/>
    <xf numFmtId="0" fontId="206" fillId="0" borderId="0" xfId="907" applyFont="1" applyAlignment="1">
      <alignment horizontal="left" indent="2"/>
    </xf>
    <xf numFmtId="218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7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69" fontId="206" fillId="33" borderId="0" xfId="863" applyNumberFormat="1" applyFont="1" applyFill="1" applyAlignment="1">
      <alignment vertical="center"/>
    </xf>
    <xf numFmtId="169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5" fontId="206" fillId="0" borderId="0" xfId="863" applyNumberFormat="1" applyFont="1" applyFill="1" applyBorder="1" applyAlignment="1">
      <alignment vertical="center"/>
    </xf>
    <xf numFmtId="167" fontId="209" fillId="33" borderId="0" xfId="831" applyNumberFormat="1" applyFont="1" applyFill="1" applyAlignment="1">
      <alignment vertical="center"/>
    </xf>
    <xf numFmtId="169" fontId="209" fillId="33" borderId="0" xfId="863" applyNumberFormat="1" applyFont="1" applyFill="1" applyBorder="1" applyAlignment="1">
      <alignment vertical="center"/>
    </xf>
    <xf numFmtId="167" fontId="209" fillId="33" borderId="0" xfId="863" applyFont="1" applyFill="1" applyBorder="1" applyAlignment="1">
      <alignment vertical="center"/>
    </xf>
    <xf numFmtId="175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69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69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7" fontId="209" fillId="41" borderId="0" xfId="863" applyFont="1" applyFill="1" applyBorder="1"/>
    <xf numFmtId="167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69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7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7" fontId="209" fillId="54" borderId="0" xfId="903" applyFont="1" applyFill="1" applyBorder="1" applyAlignment="1">
      <alignment horizontal="right"/>
    </xf>
    <xf numFmtId="167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6" fontId="206" fillId="0" borderId="0" xfId="815" applyFont="1" applyFill="1"/>
    <xf numFmtId="167" fontId="206" fillId="54" borderId="0" xfId="903" applyFont="1" applyFill="1" applyBorder="1" applyAlignment="1">
      <alignment horizontal="left" vertical="top"/>
    </xf>
    <xf numFmtId="214" fontId="206" fillId="54" borderId="0" xfId="903" applyNumberFormat="1" applyFont="1" applyFill="1" applyBorder="1" applyAlignment="1">
      <alignment horizontal="right"/>
    </xf>
    <xf numFmtId="167" fontId="206" fillId="41" borderId="0" xfId="903" applyFont="1" applyFill="1" applyBorder="1" applyAlignment="1">
      <alignment horizontal="left" vertical="top" wrapText="1"/>
    </xf>
    <xf numFmtId="166" fontId="206" fillId="0" borderId="0" xfId="815" applyFont="1" applyFill="1" applyBorder="1" applyAlignment="1">
      <alignment horizontal="right"/>
    </xf>
    <xf numFmtId="166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6" fontId="206" fillId="0" borderId="0" xfId="815" applyFont="1" applyAlignment="1">
      <alignment vertical="center"/>
    </xf>
    <xf numFmtId="166" fontId="206" fillId="41" borderId="20" xfId="815" applyFont="1" applyFill="1" applyBorder="1"/>
    <xf numFmtId="196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7" fontId="206" fillId="41" borderId="0" xfId="863" applyFont="1" applyFill="1"/>
    <xf numFmtId="167" fontId="206" fillId="41" borderId="0" xfId="863" applyFont="1" applyFill="1" applyAlignment="1">
      <alignment vertical="center"/>
    </xf>
    <xf numFmtId="166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6" fontId="206" fillId="0" borderId="20" xfId="815" applyFont="1" applyBorder="1"/>
    <xf numFmtId="166" fontId="206" fillId="0" borderId="20" xfId="815" applyFont="1" applyFill="1" applyBorder="1"/>
    <xf numFmtId="166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4" fontId="206" fillId="46" borderId="0" xfId="2697" applyNumberFormat="1" applyFont="1" applyFill="1"/>
    <xf numFmtId="167" fontId="0" fillId="0" borderId="0" xfId="863" applyFont="1"/>
    <xf numFmtId="167" fontId="31" fillId="0" borderId="0" xfId="863" applyFont="1"/>
    <xf numFmtId="167" fontId="232" fillId="0" borderId="0" xfId="863" applyFont="1"/>
    <xf numFmtId="0" fontId="233" fillId="0" borderId="122" xfId="0" applyFont="1" applyBorder="1"/>
    <xf numFmtId="167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7" fontId="233" fillId="62" borderId="122" xfId="863" applyFont="1" applyFill="1" applyBorder="1"/>
    <xf numFmtId="14" fontId="233" fillId="62" borderId="122" xfId="0" applyNumberFormat="1" applyFont="1" applyFill="1" applyBorder="1"/>
    <xf numFmtId="167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7" fontId="234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6" fillId="0" borderId="0" xfId="847" applyNumberFormat="1" applyFont="1" applyAlignment="1">
      <alignment horizontal="left"/>
    </xf>
    <xf numFmtId="256" fontId="206" fillId="0" borderId="0" xfId="847" applyNumberFormat="1" applyFont="1" applyAlignment="1">
      <alignment horizontal="left"/>
    </xf>
    <xf numFmtId="169" fontId="206" fillId="0" borderId="0" xfId="863" applyNumberFormat="1" applyFont="1" applyAlignment="1">
      <alignment horizontal="left" vertical="top"/>
    </xf>
    <xf numFmtId="169" fontId="206" fillId="41" borderId="0" xfId="863" applyNumberFormat="1" applyFont="1" applyFill="1" applyBorder="1" applyAlignment="1">
      <alignment horizontal="right"/>
    </xf>
    <xf numFmtId="261" fontId="206" fillId="0" borderId="0" xfId="847" applyNumberFormat="1" applyFont="1" applyBorder="1"/>
    <xf numFmtId="261" fontId="206" fillId="0" borderId="0" xfId="847" applyNumberFormat="1" applyFont="1" applyFill="1" applyBorder="1" applyAlignment="1">
      <alignment horizontal="right"/>
    </xf>
    <xf numFmtId="261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2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6" fontId="206" fillId="0" borderId="0" xfId="801" applyNumberFormat="1" applyFont="1" applyBorder="1" applyAlignment="1" applyProtection="1"/>
    <xf numFmtId="166" fontId="206" fillId="0" borderId="0" xfId="815" applyFont="1" applyFill="1" applyBorder="1" applyAlignment="1">
      <alignment horizontal="right" indent="2"/>
    </xf>
    <xf numFmtId="166" fontId="206" fillId="0" borderId="0" xfId="815" applyFont="1" applyFill="1" applyBorder="1" applyAlignment="1">
      <alignment horizontal="right" indent="5"/>
    </xf>
    <xf numFmtId="166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0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6" fontId="209" fillId="0" borderId="0" xfId="0" applyNumberFormat="1" applyFont="1"/>
    <xf numFmtId="0" fontId="31" fillId="0" borderId="0" xfId="907"/>
    <xf numFmtId="170" fontId="31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6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7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6" fontId="34" fillId="0" borderId="0" xfId="815" applyFont="1" applyFill="1" applyBorder="1"/>
    <xf numFmtId="170" fontId="34" fillId="0" borderId="0" xfId="907" applyNumberFormat="1" applyFont="1"/>
    <xf numFmtId="0" fontId="147" fillId="41" borderId="0" xfId="907" applyFont="1" applyFill="1"/>
    <xf numFmtId="167" fontId="117" fillId="0" borderId="0" xfId="863" applyFont="1"/>
    <xf numFmtId="167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6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6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6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6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69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6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6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7" fontId="206" fillId="0" borderId="0" xfId="863" applyFont="1" applyFill="1" applyBorder="1" applyAlignment="1"/>
    <xf numFmtId="167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3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69" fontId="39" fillId="55" borderId="137" xfId="863" applyNumberFormat="1" applyFont="1" applyFill="1" applyBorder="1" applyAlignment="1">
      <alignment horizontal="center" vertical="center"/>
    </xf>
    <xf numFmtId="169" fontId="39" fillId="55" borderId="138" xfId="863" applyNumberFormat="1" applyFont="1" applyFill="1" applyBorder="1" applyAlignment="1">
      <alignment horizontal="center" vertical="center"/>
    </xf>
    <xf numFmtId="169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7" fontId="209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69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6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7" fontId="44" fillId="41" borderId="0" xfId="863" applyFont="1" applyFill="1" applyBorder="1" applyAlignment="1">
      <alignment horizontal="right"/>
    </xf>
    <xf numFmtId="0" fontId="221" fillId="0" borderId="0" xfId="0" applyFont="1"/>
    <xf numFmtId="167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7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0" fontId="251" fillId="0" borderId="0" xfId="1095" applyNumberFormat="1" applyFont="1" applyBorder="1" applyAlignment="1">
      <alignment horizontal="right" vertical="center"/>
    </xf>
    <xf numFmtId="166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7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7" fontId="251" fillId="0" borderId="0" xfId="43165" applyFont="1" applyAlignment="1"/>
    <xf numFmtId="167" fontId="251" fillId="0" borderId="0" xfId="43165" applyFont="1" applyAlignment="1">
      <alignment horizontal="left" vertical="center"/>
    </xf>
    <xf numFmtId="167" fontId="252" fillId="0" borderId="0" xfId="43165" applyFont="1" applyAlignment="1"/>
    <xf numFmtId="167" fontId="252" fillId="0" borderId="0" xfId="43165" applyFont="1" applyAlignment="1">
      <alignment horizontal="center"/>
    </xf>
    <xf numFmtId="164" fontId="206" fillId="0" borderId="0" xfId="815" applyNumberFormat="1" applyFont="1" applyBorder="1"/>
    <xf numFmtId="164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0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7" fontId="251" fillId="0" borderId="0" xfId="43165" applyFont="1" applyFill="1" applyBorder="1" applyAlignment="1">
      <alignment horizontal="center"/>
    </xf>
    <xf numFmtId="167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7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6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7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7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59" fontId="31" fillId="0" borderId="0" xfId="0" applyNumberFormat="1" applyFont="1"/>
    <xf numFmtId="167" fontId="31" fillId="0" borderId="0" xfId="863" applyFont="1" applyFill="1"/>
    <xf numFmtId="170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7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7" fontId="31" fillId="61" borderId="0" xfId="863" applyFont="1" applyFill="1"/>
    <xf numFmtId="167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7" fontId="206" fillId="109" borderId="0" xfId="863" applyFont="1" applyFill="1" applyBorder="1"/>
    <xf numFmtId="167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7" fontId="238" fillId="0" borderId="0" xfId="863" applyFont="1" applyFill="1" applyBorder="1" applyAlignment="1">
      <alignment horizontal="right" vertical="center" wrapText="1"/>
    </xf>
    <xf numFmtId="167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3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6" fontId="44" fillId="0" borderId="0" xfId="815" applyFont="1" applyFill="1" applyBorder="1" applyAlignment="1">
      <alignment horizontal="left"/>
    </xf>
    <xf numFmtId="166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6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29" fontId="31" fillId="109" borderId="0" xfId="863" applyNumberFormat="1" applyFont="1" applyFill="1" applyBorder="1" applyAlignment="1">
      <alignment horizontal="left"/>
    </xf>
    <xf numFmtId="229" fontId="31" fillId="109" borderId="0" xfId="0" applyNumberFormat="1" applyFont="1" applyFill="1"/>
    <xf numFmtId="229" fontId="31" fillId="109" borderId="0" xfId="0" applyNumberFormat="1" applyFont="1" applyFill="1" applyAlignment="1">
      <alignment horizontal="left"/>
    </xf>
    <xf numFmtId="229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4" fontId="31" fillId="0" borderId="0" xfId="863" applyNumberFormat="1" applyFont="1" applyFill="1" applyBorder="1"/>
    <xf numFmtId="167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7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7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7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0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4" fontId="31" fillId="0" borderId="0" xfId="0" applyNumberFormat="1" applyFont="1"/>
    <xf numFmtId="167" fontId="31" fillId="0" borderId="0" xfId="863" applyFont="1" applyFill="1" applyBorder="1" applyAlignment="1"/>
    <xf numFmtId="169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2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59" fontId="31" fillId="109" borderId="0" xfId="0" applyNumberFormat="1" applyFont="1" applyFill="1"/>
    <xf numFmtId="256" fontId="31" fillId="109" borderId="0" xfId="863" applyNumberFormat="1" applyFont="1" applyFill="1" applyBorder="1" applyAlignment="1">
      <alignment horizontal="left"/>
    </xf>
    <xf numFmtId="257" fontId="31" fillId="109" borderId="0" xfId="847" applyNumberFormat="1" applyFont="1" applyFill="1" applyBorder="1" applyAlignment="1">
      <alignment horizontal="left"/>
    </xf>
    <xf numFmtId="258" fontId="31" fillId="109" borderId="0" xfId="0" applyNumberFormat="1" applyFont="1" applyFill="1" applyAlignment="1">
      <alignment horizontal="left"/>
    </xf>
    <xf numFmtId="229" fontId="31" fillId="109" borderId="0" xfId="2697" applyNumberFormat="1" applyFill="1"/>
    <xf numFmtId="256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7" fontId="206" fillId="0" borderId="0" xfId="43185" applyNumberFormat="1" applyFont="1" applyFill="1" applyBorder="1" applyAlignment="1" applyProtection="1">
      <alignment horizontal="right"/>
      <protection locked="0"/>
    </xf>
    <xf numFmtId="167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29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6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6" fontId="39" fillId="0" borderId="0" xfId="815" applyFont="1" applyFill="1" applyBorder="1" applyAlignment="1">
      <alignment horizontal="center" vertical="center" wrapText="1"/>
    </xf>
    <xf numFmtId="166" fontId="44" fillId="0" borderId="0" xfId="815" applyFont="1" applyFill="1" applyBorder="1" applyAlignment="1">
      <alignment wrapText="1"/>
    </xf>
    <xf numFmtId="166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6" fontId="111" fillId="0" borderId="0" xfId="1823" applyNumberFormat="1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1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8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8" fontId="44" fillId="0" borderId="20" xfId="2697" applyNumberFormat="1" applyFont="1" applyBorder="1" applyAlignment="1">
      <alignment vertical="center"/>
    </xf>
    <xf numFmtId="268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8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0" fontId="118" fillId="43" borderId="0" xfId="2697" applyNumberFormat="1" applyFont="1" applyFill="1" applyAlignment="1">
      <alignment horizontal="center" vertical="center" wrapText="1"/>
    </xf>
    <xf numFmtId="170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69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69" fontId="44" fillId="115" borderId="20" xfId="2697" applyNumberFormat="1" applyFont="1" applyFill="1" applyBorder="1" applyAlignment="1">
      <alignment vertical="center"/>
    </xf>
    <xf numFmtId="269" fontId="44" fillId="115" borderId="0" xfId="2697" applyNumberFormat="1" applyFont="1" applyFill="1" applyAlignment="1">
      <alignment vertical="center"/>
    </xf>
    <xf numFmtId="269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7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7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7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6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0" fontId="31" fillId="108" borderId="167" xfId="907" applyNumberFormat="1" applyFill="1" applyBorder="1"/>
    <xf numFmtId="170" fontId="31" fillId="108" borderId="170" xfId="907" applyNumberFormat="1" applyFill="1" applyBorder="1"/>
    <xf numFmtId="170" fontId="31" fillId="59" borderId="170" xfId="907" applyNumberFormat="1" applyFill="1" applyBorder="1"/>
    <xf numFmtId="170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0" fontId="31" fillId="108" borderId="172" xfId="907" applyNumberFormat="1" applyFill="1" applyBorder="1"/>
    <xf numFmtId="166" fontId="31" fillId="109" borderId="171" xfId="815" applyFont="1" applyFill="1" applyBorder="1" applyAlignment="1">
      <alignment horizontal="center" vertical="center"/>
    </xf>
    <xf numFmtId="167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9" fillId="41" borderId="178" xfId="863" applyFont="1" applyFill="1" applyBorder="1"/>
    <xf numFmtId="271" fontId="209" fillId="41" borderId="178" xfId="863" applyNumberFormat="1" applyFont="1" applyFill="1" applyBorder="1"/>
    <xf numFmtId="166" fontId="31" fillId="44" borderId="173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7" fontId="209" fillId="41" borderId="178" xfId="0" applyNumberFormat="1" applyFont="1" applyFill="1" applyBorder="1"/>
    <xf numFmtId="166" fontId="31" fillId="44" borderId="179" xfId="815" applyFont="1" applyFill="1" applyBorder="1" applyAlignment="1">
      <alignment horizontal="center" vertical="center"/>
    </xf>
    <xf numFmtId="166" fontId="31" fillId="44" borderId="180" xfId="815" applyFont="1" applyFill="1" applyBorder="1" applyAlignment="1">
      <alignment horizontal="center" vertical="center"/>
    </xf>
    <xf numFmtId="166" fontId="31" fillId="59" borderId="179" xfId="815" applyFont="1" applyFill="1" applyBorder="1" applyAlignment="1">
      <alignment horizontal="center" vertical="center"/>
    </xf>
    <xf numFmtId="166" fontId="31" fillId="59" borderId="173" xfId="815" applyFont="1" applyFill="1" applyBorder="1" applyAlignment="1">
      <alignment horizontal="center" vertical="center"/>
    </xf>
    <xf numFmtId="166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6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6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7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6" fontId="31" fillId="42" borderId="178" xfId="815" applyFont="1" applyFill="1" applyBorder="1" applyAlignment="1">
      <alignment horizontal="left"/>
    </xf>
    <xf numFmtId="167" fontId="44" fillId="0" borderId="0" xfId="0" applyNumberFormat="1" applyFont="1"/>
    <xf numFmtId="0" fontId="31" fillId="0" borderId="0" xfId="0" applyFont="1" applyAlignment="1">
      <alignment horizontal="right"/>
    </xf>
    <xf numFmtId="167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3" fontId="206" fillId="41" borderId="0" xfId="863" applyNumberFormat="1" applyFont="1" applyFill="1" applyBorder="1" applyAlignment="1">
      <alignment horizontal="right"/>
    </xf>
    <xf numFmtId="167" fontId="217" fillId="0" borderId="0" xfId="863" applyFont="1"/>
    <xf numFmtId="167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7" fontId="44" fillId="41" borderId="0" xfId="847" applyNumberFormat="1" applyFont="1" applyFill="1" applyBorder="1"/>
    <xf numFmtId="167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7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7" fontId="31" fillId="61" borderId="144" xfId="863" applyFont="1" applyFill="1" applyBorder="1" applyAlignment="1">
      <alignment horizontal="right"/>
    </xf>
    <xf numFmtId="167" fontId="31" fillId="61" borderId="0" xfId="863" applyFont="1" applyFill="1" applyBorder="1" applyAlignment="1">
      <alignment horizontal="right"/>
    </xf>
    <xf numFmtId="167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4" fontId="0" fillId="0" borderId="0" xfId="0" applyNumberFormat="1"/>
    <xf numFmtId="167" fontId="206" fillId="42" borderId="0" xfId="863" applyFont="1" applyFill="1"/>
    <xf numFmtId="166" fontId="206" fillId="109" borderId="0" xfId="815" applyFont="1" applyFill="1"/>
    <xf numFmtId="167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6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4" fontId="295" fillId="0" borderId="0" xfId="815" applyNumberFormat="1" applyFont="1" applyFill="1" applyBorder="1"/>
    <xf numFmtId="167" fontId="206" fillId="109" borderId="0" xfId="863" applyFont="1" applyFill="1"/>
    <xf numFmtId="0" fontId="294" fillId="0" borderId="20" xfId="907" applyFont="1" applyBorder="1"/>
    <xf numFmtId="216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4" fontId="295" fillId="42" borderId="0" xfId="815" applyNumberFormat="1" applyFont="1" applyFill="1"/>
    <xf numFmtId="167" fontId="209" fillId="0" borderId="0" xfId="863" applyFont="1"/>
    <xf numFmtId="166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6" fontId="206" fillId="109" borderId="0" xfId="815" applyFont="1" applyFill="1" applyBorder="1"/>
    <xf numFmtId="167" fontId="0" fillId="0" borderId="0" xfId="863" applyFont="1" applyFill="1"/>
    <xf numFmtId="167" fontId="0" fillId="109" borderId="0" xfId="863" applyFont="1" applyFill="1"/>
    <xf numFmtId="0" fontId="301" fillId="0" borderId="0" xfId="0" applyFont="1"/>
    <xf numFmtId="167" fontId="31" fillId="109" borderId="178" xfId="863" applyFont="1" applyFill="1" applyBorder="1"/>
    <xf numFmtId="167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6" fontId="31" fillId="109" borderId="183" xfId="815" applyFont="1" applyFill="1" applyBorder="1" applyAlignment="1">
      <alignment horizontal="center" vertical="center"/>
    </xf>
    <xf numFmtId="196" fontId="206" fillId="61" borderId="0" xfId="0" applyNumberFormat="1" applyFont="1" applyFill="1"/>
    <xf numFmtId="170" fontId="206" fillId="61" borderId="0" xfId="0" applyNumberFormat="1" applyFont="1" applyFill="1"/>
    <xf numFmtId="166" fontId="206" fillId="61" borderId="10" xfId="815" applyFont="1" applyFill="1" applyBorder="1"/>
    <xf numFmtId="166" fontId="206" fillId="61" borderId="29" xfId="815" applyFont="1" applyFill="1" applyBorder="1"/>
    <xf numFmtId="166" fontId="206" fillId="61" borderId="20" xfId="815" applyFont="1" applyFill="1" applyBorder="1"/>
    <xf numFmtId="166" fontId="206" fillId="61" borderId="0" xfId="815" applyFont="1" applyFill="1" applyBorder="1"/>
    <xf numFmtId="0" fontId="206" fillId="61" borderId="0" xfId="0" applyFont="1" applyFill="1"/>
    <xf numFmtId="166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4" fontId="44" fillId="41" borderId="0" xfId="863" applyNumberFormat="1" applyFont="1" applyFill="1" applyBorder="1"/>
    <xf numFmtId="4" fontId="206" fillId="0" borderId="0" xfId="0" applyNumberFormat="1" applyFont="1"/>
    <xf numFmtId="170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69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7" fontId="44" fillId="0" borderId="0" xfId="863" applyFont="1" applyFill="1" applyBorder="1"/>
    <xf numFmtId="268" fontId="44" fillId="0" borderId="0" xfId="2697" applyNumberFormat="1" applyFont="1" applyAlignment="1">
      <alignment vertical="center"/>
    </xf>
    <xf numFmtId="270" fontId="44" fillId="0" borderId="0" xfId="2697" applyNumberFormat="1" applyFont="1" applyAlignment="1">
      <alignment vertical="center"/>
    </xf>
    <xf numFmtId="269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3" fontId="251" fillId="115" borderId="0" xfId="0" applyNumberFormat="1" applyFont="1" applyFill="1" applyAlignment="1">
      <alignment vertical="center"/>
    </xf>
    <xf numFmtId="0" fontId="251" fillId="0" borderId="0" xfId="907" applyFont="1"/>
    <xf numFmtId="167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7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69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6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69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6" fontId="252" fillId="60" borderId="178" xfId="43439" applyNumberFormat="1" applyFont="1" applyFill="1" applyBorder="1" applyAlignment="1">
      <alignment vertical="center" wrapText="1"/>
    </xf>
    <xf numFmtId="169" fontId="251" fillId="41" borderId="0" xfId="863" applyNumberFormat="1" applyFont="1" applyFill="1" applyBorder="1" applyAlignment="1">
      <alignment vertical="center"/>
    </xf>
    <xf numFmtId="169" fontId="251" fillId="0" borderId="0" xfId="863" applyNumberFormat="1" applyFont="1" applyFill="1" applyBorder="1" applyAlignment="1">
      <alignment vertical="center" wrapText="1"/>
    </xf>
    <xf numFmtId="169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69" fontId="252" fillId="41" borderId="0" xfId="863" applyNumberFormat="1" applyFont="1" applyFill="1" applyBorder="1" applyAlignment="1">
      <alignment vertical="center"/>
    </xf>
    <xf numFmtId="169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1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3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3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7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3" fontId="251" fillId="0" borderId="0" xfId="0" applyNumberFormat="1" applyFont="1" applyAlignment="1">
      <alignment vertical="center"/>
    </xf>
    <xf numFmtId="278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1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1" fontId="251" fillId="41" borderId="0" xfId="907" applyNumberFormat="1" applyFont="1" applyFill="1"/>
    <xf numFmtId="261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7" fontId="251" fillId="41" borderId="0" xfId="863" applyFont="1" applyFill="1" applyBorder="1" applyAlignment="1">
      <alignment horizontal="center" vertical="center" wrapText="1"/>
    </xf>
    <xf numFmtId="261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7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7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3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7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4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4" fontId="206" fillId="45" borderId="178" xfId="863" applyNumberFormat="1" applyFont="1" applyFill="1" applyBorder="1"/>
    <xf numFmtId="164" fontId="213" fillId="43" borderId="144" xfId="863" applyNumberFormat="1" applyFont="1" applyFill="1" applyBorder="1"/>
    <xf numFmtId="164" fontId="209" fillId="45" borderId="144" xfId="863" applyNumberFormat="1" applyFont="1" applyFill="1" applyBorder="1"/>
    <xf numFmtId="167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7" fontId="206" fillId="45" borderId="166" xfId="863" applyFont="1" applyFill="1" applyBorder="1"/>
    <xf numFmtId="167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0" fontId="31" fillId="0" borderId="152" xfId="863" applyNumberFormat="1" applyFont="1" applyFill="1" applyBorder="1" applyAlignment="1">
      <alignment horizontal="center"/>
    </xf>
    <xf numFmtId="170" fontId="31" fillId="0" borderId="152" xfId="863" applyNumberFormat="1" applyFont="1" applyBorder="1" applyAlignment="1">
      <alignment horizontal="center"/>
    </xf>
    <xf numFmtId="170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69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7" fontId="31" fillId="0" borderId="178" xfId="863" applyFont="1" applyFill="1" applyBorder="1" applyAlignment="1"/>
    <xf numFmtId="167" fontId="31" fillId="44" borderId="178" xfId="863" applyFont="1" applyFill="1" applyBorder="1" applyAlignment="1">
      <alignment horizontal="right"/>
    </xf>
    <xf numFmtId="169" fontId="31" fillId="0" borderId="166" xfId="0" applyNumberFormat="1" applyFont="1" applyBorder="1"/>
    <xf numFmtId="167" fontId="31" fillId="0" borderId="166" xfId="863" applyFont="1" applyFill="1" applyBorder="1" applyAlignment="1"/>
    <xf numFmtId="167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6" fontId="31" fillId="0" borderId="166" xfId="815" applyFont="1" applyFill="1" applyBorder="1" applyAlignment="1">
      <alignment horizontal="left"/>
    </xf>
    <xf numFmtId="166" fontId="31" fillId="0" borderId="178" xfId="815" applyFont="1" applyFill="1" applyBorder="1" applyAlignment="1">
      <alignment horizontal="left"/>
    </xf>
    <xf numFmtId="164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0" fontId="31" fillId="109" borderId="144" xfId="907" applyNumberFormat="1" applyFill="1" applyBorder="1" applyAlignment="1">
      <alignment horizontal="left"/>
    </xf>
    <xf numFmtId="167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7" fontId="31" fillId="109" borderId="144" xfId="863" applyFont="1" applyFill="1" applyBorder="1" applyAlignment="1">
      <alignment horizontal="left"/>
    </xf>
    <xf numFmtId="229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29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29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29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29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6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1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1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6" fontId="209" fillId="59" borderId="149" xfId="0" applyNumberFormat="1" applyFont="1" applyFill="1" applyBorder="1" applyProtection="1">
      <protection hidden="1"/>
    </xf>
    <xf numFmtId="166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1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6" fontId="209" fillId="59" borderId="156" xfId="0" applyNumberFormat="1" applyFont="1" applyFill="1" applyBorder="1" applyProtection="1">
      <protection hidden="1"/>
    </xf>
    <xf numFmtId="166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1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6" fontId="209" fillId="59" borderId="178" xfId="0" applyNumberFormat="1" applyFont="1" applyFill="1" applyBorder="1" applyProtection="1">
      <protection hidden="1"/>
    </xf>
    <xf numFmtId="166" fontId="209" fillId="112" borderId="178" xfId="0" applyNumberFormat="1" applyFont="1" applyFill="1" applyBorder="1" applyProtection="1">
      <protection hidden="1"/>
    </xf>
    <xf numFmtId="261" fontId="209" fillId="59" borderId="156" xfId="847" applyNumberFormat="1" applyFont="1" applyFill="1" applyBorder="1" applyAlignment="1" applyProtection="1">
      <alignment horizontal="center"/>
      <protection hidden="1"/>
    </xf>
    <xf numFmtId="261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6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6" fontId="44" fillId="33" borderId="178" xfId="2697" applyNumberFormat="1" applyFont="1" applyFill="1" applyBorder="1" applyAlignment="1">
      <alignment horizontal="center"/>
    </xf>
    <xf numFmtId="166" fontId="44" fillId="33" borderId="178" xfId="815" applyFont="1" applyFill="1" applyBorder="1"/>
    <xf numFmtId="216" fontId="111" fillId="94" borderId="144" xfId="1823" applyNumberFormat="1" applyFont="1" applyFill="1" applyBorder="1" applyAlignment="1">
      <alignment horizontal="center" vertical="center" wrapText="1"/>
    </xf>
    <xf numFmtId="166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6" fontId="44" fillId="94" borderId="144" xfId="2697" applyNumberFormat="1" applyFont="1" applyFill="1" applyBorder="1" applyAlignment="1">
      <alignment horizontal="center"/>
    </xf>
    <xf numFmtId="170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0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69" fontId="44" fillId="42" borderId="144" xfId="43199" applyNumberFormat="1" applyFont="1" applyFill="1" applyBorder="1" applyAlignment="1">
      <alignment horizontal="center" wrapText="1"/>
    </xf>
    <xf numFmtId="169" fontId="44" fillId="42" borderId="144" xfId="847" applyNumberFormat="1" applyFont="1" applyFill="1" applyBorder="1" applyAlignment="1">
      <alignment horizontal="center" wrapText="1"/>
    </xf>
    <xf numFmtId="169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69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1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1" fontId="252" fillId="59" borderId="144" xfId="905" applyNumberFormat="1" applyFont="1" applyFill="1" applyBorder="1" applyAlignment="1">
      <alignment horizontal="left"/>
    </xf>
    <xf numFmtId="261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1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1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1" fontId="316" fillId="55" borderId="144" xfId="1823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0" fontId="252" fillId="59" borderId="144" xfId="905" applyNumberFormat="1" applyFont="1" applyFill="1" applyBorder="1" applyAlignment="1">
      <alignment horizontal="center" vertical="center" wrapText="1"/>
    </xf>
    <xf numFmtId="171" fontId="252" fillId="59" borderId="144" xfId="43199" applyNumberFormat="1" applyFont="1" applyFill="1" applyBorder="1" applyAlignment="1">
      <alignment vertical="center"/>
    </xf>
    <xf numFmtId="167" fontId="252" fillId="59" borderId="144" xfId="863" applyFont="1" applyFill="1" applyBorder="1" applyAlignment="1">
      <alignment vertical="center"/>
    </xf>
    <xf numFmtId="171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3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69" fontId="209" fillId="41" borderId="186" xfId="43183" applyNumberFormat="1" applyFont="1" applyFill="1" applyBorder="1" applyAlignment="1" applyProtection="1">
      <alignment horizontal="center" vertical="center"/>
    </xf>
    <xf numFmtId="164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6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69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6" fontId="206" fillId="41" borderId="178" xfId="815" applyFont="1" applyFill="1" applyBorder="1"/>
    <xf numFmtId="167" fontId="209" fillId="41" borderId="186" xfId="43185" applyNumberFormat="1" applyFont="1" applyFill="1" applyBorder="1" applyAlignment="1" applyProtection="1">
      <alignment horizontal="right"/>
      <protection locked="0"/>
    </xf>
    <xf numFmtId="164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6" fontId="209" fillId="97" borderId="186" xfId="2697" applyNumberFormat="1" applyFont="1" applyFill="1" applyBorder="1"/>
    <xf numFmtId="0" fontId="231" fillId="0" borderId="186" xfId="2697" applyFont="1" applyBorder="1"/>
    <xf numFmtId="169" fontId="206" fillId="0" borderId="186" xfId="43183" applyNumberFormat="1" applyFont="1" applyFill="1" applyBorder="1" applyAlignment="1">
      <alignment vertical="center" wrapText="1"/>
    </xf>
    <xf numFmtId="169" fontId="209" fillId="41" borderId="186" xfId="43183" applyNumberFormat="1" applyFont="1" applyFill="1" applyBorder="1" applyAlignment="1" applyProtection="1">
      <alignment vertical="center"/>
    </xf>
    <xf numFmtId="164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4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4" fontId="209" fillId="0" borderId="186" xfId="2697" applyNumberFormat="1" applyFont="1" applyBorder="1"/>
    <xf numFmtId="167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4" fontId="206" fillId="0" borderId="191" xfId="43184" applyFont="1" applyBorder="1"/>
    <xf numFmtId="167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4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8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8" fontId="219" fillId="41" borderId="186" xfId="863" applyNumberFormat="1" applyFont="1" applyFill="1" applyBorder="1"/>
    <xf numFmtId="167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3" fontId="209" fillId="0" borderId="178" xfId="0" applyNumberFormat="1" applyFont="1" applyBorder="1"/>
    <xf numFmtId="167" fontId="206" fillId="0" borderId="191" xfId="863" applyFont="1" applyBorder="1"/>
    <xf numFmtId="0" fontId="209" fillId="59" borderId="186" xfId="907" applyFont="1" applyFill="1" applyBorder="1"/>
    <xf numFmtId="169" fontId="209" fillId="59" borderId="186" xfId="907" applyNumberFormat="1" applyFont="1" applyFill="1" applyBorder="1"/>
    <xf numFmtId="167" fontId="209" fillId="59" borderId="186" xfId="863" applyFont="1" applyFill="1" applyBorder="1"/>
    <xf numFmtId="166" fontId="209" fillId="59" borderId="186" xfId="907" applyNumberFormat="1" applyFont="1" applyFill="1" applyBorder="1"/>
    <xf numFmtId="167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7" fontId="209" fillId="97" borderId="186" xfId="0" applyNumberFormat="1" applyFont="1" applyFill="1" applyBorder="1"/>
    <xf numFmtId="271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6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8" fontId="294" fillId="117" borderId="186" xfId="43408" applyNumberFormat="1" applyFont="1" applyFill="1" applyBorder="1"/>
    <xf numFmtId="43" fontId="295" fillId="117" borderId="186" xfId="43408" applyFont="1" applyFill="1" applyBorder="1"/>
    <xf numFmtId="166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69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7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5" fontId="44" fillId="41" borderId="196" xfId="863" applyNumberFormat="1" applyFont="1" applyFill="1" applyBorder="1" applyAlignment="1">
      <alignment vertical="center"/>
    </xf>
    <xf numFmtId="175" fontId="206" fillId="0" borderId="187" xfId="863" applyNumberFormat="1" applyFont="1" applyFill="1" applyBorder="1" applyAlignment="1">
      <alignment vertical="center"/>
    </xf>
    <xf numFmtId="167" fontId="209" fillId="33" borderId="187" xfId="831" applyNumberFormat="1" applyFont="1" applyFill="1" applyBorder="1" applyAlignment="1">
      <alignment vertical="center"/>
    </xf>
    <xf numFmtId="167" fontId="209" fillId="33" borderId="187" xfId="863" applyFont="1" applyFill="1" applyBorder="1" applyAlignment="1">
      <alignment vertical="center"/>
    </xf>
    <xf numFmtId="167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5" fontId="34" fillId="0" borderId="187" xfId="907" applyNumberFormat="1" applyFont="1" applyBorder="1" applyAlignment="1">
      <alignment horizontal="center" vertical="center"/>
    </xf>
    <xf numFmtId="170" fontId="31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7" fontId="31" fillId="0" borderId="187" xfId="863" applyFont="1" applyFill="1" applyBorder="1" applyAlignment="1"/>
    <xf numFmtId="170" fontId="31" fillId="0" borderId="196" xfId="907" applyNumberFormat="1" applyBorder="1" applyAlignment="1">
      <alignment horizontal="center"/>
    </xf>
    <xf numFmtId="167" fontId="0" fillId="9" borderId="196" xfId="863" applyFont="1" applyFill="1" applyBorder="1"/>
    <xf numFmtId="167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69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69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5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6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7" fontId="206" fillId="54" borderId="178" xfId="903" applyFont="1" applyFill="1" applyBorder="1" applyAlignment="1">
      <alignment horizontal="left" vertical="top" wrapText="1"/>
    </xf>
    <xf numFmtId="275" fontId="206" fillId="109" borderId="178" xfId="863" applyNumberFormat="1" applyFont="1" applyFill="1" applyBorder="1" applyAlignment="1">
      <alignment horizontal="right"/>
    </xf>
    <xf numFmtId="167" fontId="206" fillId="54" borderId="191" xfId="903" applyFont="1" applyFill="1" applyBorder="1" applyAlignment="1">
      <alignment horizontal="left" vertical="top"/>
    </xf>
    <xf numFmtId="167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6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6" fontId="206" fillId="109" borderId="191" xfId="815" applyFont="1" applyFill="1" applyBorder="1"/>
    <xf numFmtId="167" fontId="44" fillId="41" borderId="178" xfId="903" applyFont="1" applyFill="1" applyBorder="1" applyAlignment="1">
      <alignment horizontal="left" vertical="top" wrapText="1"/>
    </xf>
    <xf numFmtId="167" fontId="44" fillId="41" borderId="178" xfId="863" applyFont="1" applyFill="1" applyBorder="1" applyAlignment="1">
      <alignment horizontal="right"/>
    </xf>
    <xf numFmtId="167" fontId="206" fillId="41" borderId="178" xfId="903" applyFont="1" applyFill="1" applyBorder="1" applyAlignment="1">
      <alignment horizontal="left" vertical="top" wrapText="1"/>
    </xf>
    <xf numFmtId="166" fontId="206" fillId="41" borderId="178" xfId="815" applyFont="1" applyFill="1" applyBorder="1" applyAlignment="1">
      <alignment horizontal="right"/>
    </xf>
    <xf numFmtId="166" fontId="206" fillId="0" borderId="191" xfId="815" applyFont="1" applyFill="1" applyBorder="1"/>
    <xf numFmtId="167" fontId="111" fillId="41" borderId="178" xfId="903" applyFont="1" applyFill="1" applyBorder="1" applyAlignment="1">
      <alignment horizontal="left" vertical="top" wrapText="1"/>
    </xf>
    <xf numFmtId="166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6" fontId="206" fillId="109" borderId="178" xfId="815" applyFont="1" applyFill="1" applyBorder="1"/>
    <xf numFmtId="166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6" fontId="206" fillId="0" borderId="191" xfId="0" applyNumberFormat="1" applyFont="1" applyBorder="1"/>
    <xf numFmtId="43" fontId="206" fillId="0" borderId="178" xfId="0" applyNumberFormat="1" applyFont="1" applyBorder="1"/>
    <xf numFmtId="166" fontId="206" fillId="0" borderId="178" xfId="0" applyNumberFormat="1" applyFont="1" applyBorder="1"/>
    <xf numFmtId="164" fontId="206" fillId="0" borderId="191" xfId="0" applyNumberFormat="1" applyFont="1" applyBorder="1"/>
    <xf numFmtId="164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0" fontId="287" fillId="43" borderId="178" xfId="832" applyFont="1" applyFill="1" applyBorder="1" applyAlignment="1">
      <alignment horizontal="center"/>
    </xf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6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69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69" fontId="251" fillId="33" borderId="196" xfId="863" applyNumberFormat="1" applyFont="1" applyFill="1" applyBorder="1" applyAlignment="1">
      <alignment vertical="center"/>
    </xf>
    <xf numFmtId="167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8" fontId="44" fillId="0" borderId="189" xfId="2697" applyNumberFormat="1" applyFont="1" applyBorder="1" applyAlignment="1">
      <alignment vertical="center"/>
    </xf>
    <xf numFmtId="167" fontId="44" fillId="0" borderId="193" xfId="863" applyFont="1" applyBorder="1" applyAlignment="1">
      <alignment vertical="center"/>
    </xf>
    <xf numFmtId="268" fontId="44" fillId="0" borderId="193" xfId="2697" applyNumberFormat="1" applyFont="1" applyBorder="1" applyAlignment="1">
      <alignment vertical="center"/>
    </xf>
    <xf numFmtId="167" fontId="44" fillId="0" borderId="196" xfId="863" applyFont="1" applyBorder="1" applyAlignment="1">
      <alignment vertical="center"/>
    </xf>
    <xf numFmtId="268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69" fontId="111" fillId="59" borderId="187" xfId="43183" applyNumberFormat="1" applyFont="1" applyFill="1" applyBorder="1" applyAlignment="1">
      <alignment vertical="center"/>
    </xf>
    <xf numFmtId="269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0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69" fontId="111" fillId="98" borderId="186" xfId="2697" applyNumberFormat="1" applyFont="1" applyFill="1" applyBorder="1" applyAlignment="1">
      <alignment vertical="center"/>
    </xf>
    <xf numFmtId="269" fontId="111" fillId="60" borderId="186" xfId="2697" applyNumberFormat="1" applyFont="1" applyFill="1" applyBorder="1" applyAlignment="1">
      <alignment vertical="center"/>
    </xf>
    <xf numFmtId="270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0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0" fontId="118" fillId="55" borderId="189" xfId="2697" applyNumberFormat="1" applyFont="1" applyFill="1" applyBorder="1" applyAlignment="1">
      <alignment horizontal="center" vertical="center" wrapText="1"/>
    </xf>
    <xf numFmtId="170" fontId="118" fillId="55" borderId="191" xfId="2697" applyNumberFormat="1" applyFont="1" applyFill="1" applyBorder="1" applyAlignment="1">
      <alignment horizontal="center" vertical="center" wrapText="1"/>
    </xf>
    <xf numFmtId="170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4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1" fontId="216" fillId="0" borderId="187" xfId="863" applyNumberFormat="1" applyFont="1" applyFill="1" applyBorder="1" applyAlignment="1">
      <alignment vertical="top"/>
    </xf>
    <xf numFmtId="164" fontId="228" fillId="44" borderId="187" xfId="863" applyNumberFormat="1" applyFont="1" applyFill="1" applyBorder="1" applyAlignment="1">
      <alignment vertical="top"/>
    </xf>
    <xf numFmtId="164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0" fontId="206" fillId="0" borderId="191" xfId="0" applyNumberFormat="1" applyFont="1" applyBorder="1"/>
    <xf numFmtId="170" fontId="206" fillId="0" borderId="178" xfId="0" applyNumberFormat="1" applyFont="1" applyBorder="1"/>
    <xf numFmtId="166" fontId="209" fillId="0" borderId="188" xfId="815" applyFont="1" applyFill="1" applyBorder="1"/>
    <xf numFmtId="166" fontId="209" fillId="0" borderId="192" xfId="815" applyFont="1" applyFill="1" applyBorder="1"/>
    <xf numFmtId="166" fontId="209" fillId="0" borderId="186" xfId="815" applyFont="1" applyFill="1" applyBorder="1"/>
    <xf numFmtId="166" fontId="206" fillId="0" borderId="188" xfId="815" applyFont="1" applyFill="1" applyBorder="1"/>
    <xf numFmtId="166" fontId="206" fillId="0" borderId="192" xfId="815" applyFont="1" applyFill="1" applyBorder="1"/>
    <xf numFmtId="166" fontId="209" fillId="0" borderId="188" xfId="815" applyFont="1" applyBorder="1"/>
    <xf numFmtId="166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6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1" fontId="44" fillId="0" borderId="187" xfId="863" applyNumberFormat="1" applyFont="1" applyBorder="1" applyAlignment="1">
      <alignment horizontal="center"/>
    </xf>
    <xf numFmtId="195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6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3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3" fontId="251" fillId="0" borderId="187" xfId="7308" applyNumberFormat="1" applyFont="1" applyBorder="1"/>
    <xf numFmtId="265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3" fontId="251" fillId="0" borderId="187" xfId="43165" applyNumberFormat="1" applyFont="1" applyBorder="1"/>
    <xf numFmtId="166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6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6" fontId="252" fillId="41" borderId="187" xfId="902" applyFont="1" applyFill="1" applyBorder="1"/>
    <xf numFmtId="0" fontId="251" fillId="0" borderId="201" xfId="7308" applyFont="1" applyBorder="1"/>
    <xf numFmtId="166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6" fontId="259" fillId="42" borderId="187" xfId="902" applyFont="1" applyFill="1" applyBorder="1"/>
    <xf numFmtId="0" fontId="251" fillId="46" borderId="187" xfId="7308" applyFont="1" applyFill="1" applyBorder="1"/>
    <xf numFmtId="264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2" fontId="251" fillId="0" borderId="187" xfId="7308" applyNumberFormat="1" applyFont="1" applyBorder="1"/>
    <xf numFmtId="166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6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317" fillId="0" borderId="0" xfId="0" pivotButton="1" applyFont="1"/>
    <xf numFmtId="0" fontId="317" fillId="0" borderId="0" xfId="0" applyFont="1"/>
    <xf numFmtId="204" fontId="317" fillId="0" borderId="0" xfId="0" applyNumberFormat="1" applyFont="1" applyAlignment="1">
      <alignment horizontal="left"/>
    </xf>
    <xf numFmtId="167" fontId="317" fillId="0" borderId="0" xfId="0" applyNumberFormat="1" applyFont="1"/>
    <xf numFmtId="167" fontId="284" fillId="42" borderId="0" xfId="863" applyFont="1" applyFill="1" applyBorder="1"/>
    <xf numFmtId="166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7" fontId="206" fillId="106" borderId="178" xfId="863" applyFont="1" applyFill="1" applyBorder="1"/>
    <xf numFmtId="167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7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7" fontId="251" fillId="115" borderId="0" xfId="863" applyFont="1" applyFill="1" applyBorder="1" applyAlignment="1">
      <alignment vertical="center"/>
    </xf>
    <xf numFmtId="167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6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7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7" fontId="251" fillId="0" borderId="152" xfId="863" applyFont="1" applyBorder="1" applyAlignment="1">
      <alignment vertical="center"/>
    </xf>
    <xf numFmtId="271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3" fontId="251" fillId="0" borderId="0" xfId="0" applyNumberFormat="1" applyFont="1" applyAlignment="1">
      <alignment horizontal="center"/>
    </xf>
    <xf numFmtId="213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3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6" fontId="251" fillId="0" borderId="0" xfId="815" applyFont="1"/>
    <xf numFmtId="166" fontId="251" fillId="59" borderId="144" xfId="815" applyFont="1" applyFill="1" applyBorder="1"/>
    <xf numFmtId="0" fontId="252" fillId="0" borderId="149" xfId="0" applyFont="1" applyBorder="1"/>
    <xf numFmtId="213" fontId="320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3" fontId="319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69" fontId="258" fillId="0" borderId="0" xfId="863" applyNumberFormat="1" applyFont="1" applyFill="1" applyBorder="1" applyAlignment="1">
      <alignment vertical="center" wrapText="1"/>
    </xf>
    <xf numFmtId="169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7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69" fontId="252" fillId="0" borderId="0" xfId="863" applyNumberFormat="1" applyFont="1" applyFill="1" applyBorder="1" applyAlignment="1">
      <alignment vertical="center" wrapText="1"/>
    </xf>
    <xf numFmtId="169" fontId="252" fillId="0" borderId="0" xfId="863" applyNumberFormat="1" applyFont="1" applyFill="1" applyBorder="1" applyAlignment="1">
      <alignment vertical="center"/>
    </xf>
    <xf numFmtId="167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6" fontId="251" fillId="0" borderId="0" xfId="43439" applyNumberFormat="1" applyFont="1" applyFill="1" applyBorder="1" applyAlignment="1">
      <alignment vertical="center" wrapText="1"/>
    </xf>
    <xf numFmtId="276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7" fontId="314" fillId="126" borderId="196" xfId="863" applyFont="1" applyFill="1" applyBorder="1" applyAlignment="1">
      <alignment vertical="center"/>
    </xf>
    <xf numFmtId="167" fontId="314" fillId="126" borderId="188" xfId="863" applyFont="1" applyFill="1" applyBorder="1" applyAlignment="1">
      <alignment vertical="center"/>
    </xf>
    <xf numFmtId="167" fontId="314" fillId="126" borderId="192" xfId="863" applyFont="1" applyFill="1" applyBorder="1" applyAlignment="1">
      <alignment vertical="center"/>
    </xf>
    <xf numFmtId="167" fontId="251" fillId="0" borderId="196" xfId="863" applyFont="1" applyFill="1" applyBorder="1" applyAlignment="1">
      <alignment horizontal="right" vertical="center"/>
    </xf>
    <xf numFmtId="167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7" fontId="322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7" fontId="314" fillId="0" borderId="0" xfId="863" applyFont="1" applyAlignment="1">
      <alignment vertical="center"/>
    </xf>
    <xf numFmtId="279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7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79" fontId="322" fillId="0" borderId="188" xfId="43440" applyNumberFormat="1" applyFont="1" applyBorder="1" applyAlignment="1">
      <alignment horizontal="center" vertical="center"/>
    </xf>
    <xf numFmtId="167" fontId="322" fillId="0" borderId="187" xfId="863" applyFont="1" applyBorder="1" applyAlignment="1">
      <alignment vertical="center"/>
    </xf>
    <xf numFmtId="0" fontId="44" fillId="128" borderId="0" xfId="0" applyFont="1" applyFill="1"/>
    <xf numFmtId="0" fontId="324" fillId="41" borderId="0" xfId="36379" applyFont="1" applyFill="1"/>
    <xf numFmtId="0" fontId="323" fillId="41" borderId="123" xfId="2697" applyFont="1" applyFill="1" applyBorder="1" applyAlignment="1">
      <alignment horizontal="center"/>
    </xf>
    <xf numFmtId="167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69" fontId="251" fillId="0" borderId="10" xfId="863" applyNumberFormat="1" applyFont="1" applyFill="1" applyBorder="1" applyAlignment="1">
      <alignment vertical="center"/>
    </xf>
    <xf numFmtId="169" fontId="311" fillId="0" borderId="193" xfId="863" applyNumberFormat="1" applyFont="1" applyFill="1" applyBorder="1" applyAlignment="1">
      <alignment vertical="center"/>
    </xf>
    <xf numFmtId="169" fontId="251" fillId="0" borderId="193" xfId="863" applyNumberFormat="1" applyFont="1" applyFill="1" applyBorder="1" applyAlignment="1">
      <alignment vertical="center"/>
    </xf>
    <xf numFmtId="166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1" fontId="251" fillId="0" borderId="0" xfId="863" applyNumberFormat="1" applyFont="1" applyFill="1" applyBorder="1" applyAlignment="1">
      <alignment vertical="center"/>
    </xf>
    <xf numFmtId="277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69" fontId="206" fillId="0" borderId="0" xfId="863" applyNumberFormat="1" applyFont="1"/>
    <xf numFmtId="0" fontId="206" fillId="0" borderId="0" xfId="0" applyFont="1" applyAlignment="1">
      <alignment wrapText="1"/>
    </xf>
    <xf numFmtId="167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2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69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7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3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7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7" fontId="284" fillId="119" borderId="0" xfId="863" applyFont="1" applyFill="1" applyBorder="1"/>
    <xf numFmtId="0" fontId="284" fillId="130" borderId="10" xfId="0" applyFont="1" applyFill="1" applyBorder="1"/>
    <xf numFmtId="167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9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7" fontId="284" fillId="45" borderId="0" xfId="863" applyFont="1" applyFill="1" applyBorder="1"/>
    <xf numFmtId="166" fontId="284" fillId="119" borderId="10" xfId="5583" applyNumberFormat="1" applyFont="1" applyFill="1" applyBorder="1" applyAlignment="1">
      <alignment vertical="center"/>
    </xf>
    <xf numFmtId="166" fontId="284" fillId="112" borderId="10" xfId="5583" applyNumberFormat="1" applyFont="1" applyFill="1" applyBorder="1" applyAlignment="1">
      <alignment vertical="center"/>
    </xf>
    <xf numFmtId="166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6" fontId="31" fillId="109" borderId="190" xfId="815" applyFont="1" applyFill="1" applyBorder="1" applyAlignment="1"/>
    <xf numFmtId="0" fontId="31" fillId="59" borderId="20" xfId="907" applyFill="1" applyBorder="1"/>
    <xf numFmtId="166" fontId="31" fillId="109" borderId="29" xfId="815" applyFont="1" applyFill="1" applyBorder="1" applyAlignment="1"/>
    <xf numFmtId="0" fontId="31" fillId="59" borderId="201" xfId="907" applyFill="1" applyBorder="1"/>
    <xf numFmtId="166" fontId="31" fillId="109" borderId="211" xfId="815" applyFont="1" applyFill="1" applyBorder="1" applyAlignment="1"/>
    <xf numFmtId="167" fontId="31" fillId="41" borderId="190" xfId="863" applyFont="1" applyFill="1" applyBorder="1" applyAlignment="1"/>
    <xf numFmtId="167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7" fontId="325" fillId="0" borderId="187" xfId="863" applyFont="1" applyBorder="1" applyAlignment="1">
      <alignment horizontal="center" vertical="center"/>
    </xf>
    <xf numFmtId="167" fontId="121" fillId="0" borderId="187" xfId="863" applyFont="1" applyBorder="1" applyAlignment="1">
      <alignment vertical="center"/>
    </xf>
    <xf numFmtId="167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6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3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7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3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7" fontId="206" fillId="99" borderId="0" xfId="863" applyFont="1" applyFill="1"/>
    <xf numFmtId="2" fontId="206" fillId="99" borderId="0" xfId="863" applyNumberFormat="1" applyFont="1" applyFill="1"/>
    <xf numFmtId="166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6" fontId="206" fillId="106" borderId="29" xfId="815" applyFont="1" applyFill="1" applyBorder="1"/>
    <xf numFmtId="166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7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4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10" fontId="284" fillId="115" borderId="10" xfId="847" applyNumberFormat="1" applyFont="1" applyFill="1" applyBorder="1" applyAlignment="1">
      <alignment horizontal="center"/>
    </xf>
    <xf numFmtId="10" fontId="284" fillId="115" borderId="0" xfId="847" applyNumberFormat="1" applyFont="1" applyFill="1" applyBorder="1" applyAlignment="1">
      <alignment horizontal="left"/>
    </xf>
    <xf numFmtId="10" fontId="284" fillId="115" borderId="10" xfId="847" applyNumberFormat="1" applyFont="1" applyFill="1" applyBorder="1" applyAlignment="1">
      <alignment horizontal="left"/>
    </xf>
    <xf numFmtId="0" fontId="284" fillId="115" borderId="0" xfId="847" applyNumberFormat="1" applyFont="1" applyFill="1" applyBorder="1" applyAlignment="1">
      <alignment horizontal="center"/>
    </xf>
    <xf numFmtId="0" fontId="284" fillId="115" borderId="10" xfId="863" applyNumberFormat="1" applyFont="1" applyFill="1" applyBorder="1" applyAlignment="1">
      <alignment horizontal="center"/>
    </xf>
    <xf numFmtId="0" fontId="284" fillId="115" borderId="0" xfId="863" applyNumberFormat="1" applyFont="1" applyFill="1" applyBorder="1" applyAlignment="1">
      <alignment horizontal="center"/>
    </xf>
    <xf numFmtId="0" fontId="284" fillId="115" borderId="10" xfId="847" applyNumberFormat="1" applyFont="1" applyFill="1" applyBorder="1" applyAlignment="1">
      <alignment horizontal="center"/>
    </xf>
    <xf numFmtId="10" fontId="284" fillId="115" borderId="10" xfId="2578" applyNumberFormat="1" applyFont="1" applyFill="1" applyBorder="1" applyAlignment="1">
      <alignment horizontal="center"/>
    </xf>
    <xf numFmtId="0" fontId="284" fillId="115" borderId="0" xfId="2578" applyNumberFormat="1" applyFont="1" applyFill="1" applyBorder="1" applyAlignment="1">
      <alignment horizontal="center"/>
    </xf>
    <xf numFmtId="0" fontId="284" fillId="115" borderId="10" xfId="2578" applyNumberFormat="1" applyFont="1" applyFill="1" applyBorder="1" applyAlignment="1">
      <alignment horizontal="center"/>
    </xf>
    <xf numFmtId="167" fontId="284" fillId="112" borderId="0" xfId="863" applyFont="1" applyFill="1" applyBorder="1"/>
    <xf numFmtId="167" fontId="284" fillId="111" borderId="0" xfId="863" applyFont="1" applyFill="1" applyBorder="1"/>
    <xf numFmtId="0" fontId="206" fillId="0" borderId="29" xfId="907" applyFont="1" applyBorder="1" applyAlignment="1">
      <alignment horizontal="left" indent="1"/>
    </xf>
    <xf numFmtId="261" fontId="209" fillId="0" borderId="0" xfId="847" applyNumberFormat="1" applyFont="1" applyBorder="1"/>
    <xf numFmtId="166" fontId="283" fillId="0" borderId="190" xfId="815" applyFont="1" applyBorder="1"/>
    <xf numFmtId="166" fontId="283" fillId="0" borderId="211" xfId="815" applyFont="1" applyFill="1" applyBorder="1"/>
    <xf numFmtId="166" fontId="283" fillId="0" borderId="192" xfId="815" applyFont="1" applyFill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6" fontId="31" fillId="59" borderId="167" xfId="815" applyFont="1" applyFill="1" applyBorder="1" applyAlignment="1">
      <alignment horizontal="center" vertical="center"/>
    </xf>
    <xf numFmtId="166" fontId="31" fillId="59" borderId="176" xfId="815" applyFont="1" applyFill="1" applyBorder="1" applyAlignment="1">
      <alignment horizontal="center" vertical="center"/>
    </xf>
    <xf numFmtId="166" fontId="31" fillId="44" borderId="167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166" fontId="31" fillId="44" borderId="170" xfId="815" applyFont="1" applyFill="1" applyBorder="1" applyAlignment="1">
      <alignment horizontal="center" vertical="center"/>
    </xf>
    <xf numFmtId="166" fontId="31" fillId="44" borderId="175" xfId="815" applyFont="1" applyFill="1" applyBorder="1" applyAlignment="1">
      <alignment horizontal="center" vertical="center"/>
    </xf>
    <xf numFmtId="166" fontId="31" fillId="44" borderId="172" xfId="815" applyFont="1" applyFill="1" applyBorder="1" applyAlignment="1">
      <alignment horizontal="center" vertical="center"/>
    </xf>
    <xf numFmtId="166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6" fontId="31" fillId="59" borderId="172" xfId="815" applyFont="1" applyFill="1" applyBorder="1" applyAlignment="1">
      <alignment horizontal="center" vertical="center"/>
    </xf>
    <xf numFmtId="166" fontId="31" fillId="59" borderId="177" xfId="815" applyFont="1" applyFill="1" applyBorder="1" applyAlignment="1">
      <alignment horizontal="center" vertical="center"/>
    </xf>
    <xf numFmtId="166" fontId="31" fillId="59" borderId="170" xfId="815" applyFont="1" applyFill="1" applyBorder="1" applyAlignment="1">
      <alignment horizontal="center" vertical="center"/>
    </xf>
    <xf numFmtId="166" fontId="31" fillId="59" borderId="175" xfId="815" applyFont="1" applyFill="1" applyBorder="1" applyAlignment="1">
      <alignment horizontal="center" vertical="center"/>
    </xf>
    <xf numFmtId="167" fontId="117" fillId="102" borderId="144" xfId="863" applyFont="1" applyFill="1" applyBorder="1" applyAlignment="1">
      <alignment horizontal="center" vertical="top" wrapText="1"/>
    </xf>
    <xf numFmtId="166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69" fontId="118" fillId="55" borderId="132" xfId="863" applyNumberFormat="1" applyFont="1" applyFill="1" applyBorder="1" applyAlignment="1">
      <alignment horizontal="center" vertical="center" wrapText="1"/>
    </xf>
    <xf numFmtId="169" fontId="118" fillId="55" borderId="133" xfId="863" applyNumberFormat="1" applyFont="1" applyFill="1" applyBorder="1" applyAlignment="1">
      <alignment horizontal="center" vertical="center" wrapText="1"/>
    </xf>
    <xf numFmtId="169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3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69" fontId="39" fillId="55" borderId="128" xfId="863" applyNumberFormat="1" applyFont="1" applyFill="1" applyBorder="1" applyAlignment="1">
      <alignment horizontal="center" vertical="center"/>
    </xf>
    <xf numFmtId="169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6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3" fontId="251" fillId="0" borderId="188" xfId="43165" applyNumberFormat="1" applyFont="1" applyBorder="1" applyAlignment="1">
      <alignment horizontal="center"/>
    </xf>
    <xf numFmtId="213" fontId="251" fillId="0" borderId="186" xfId="43165" applyNumberFormat="1" applyFont="1" applyBorder="1" applyAlignment="1">
      <alignment horizontal="center"/>
    </xf>
    <xf numFmtId="213" fontId="251" fillId="0" borderId="192" xfId="43165" applyNumberFormat="1" applyFont="1" applyBorder="1" applyAlignment="1">
      <alignment horizontal="center"/>
    </xf>
    <xf numFmtId="213" fontId="251" fillId="0" borderId="188" xfId="7308" applyNumberFormat="1" applyFont="1" applyBorder="1" applyAlignment="1">
      <alignment horizontal="center"/>
    </xf>
    <xf numFmtId="213" fontId="251" fillId="0" borderId="186" xfId="7308" applyNumberFormat="1" applyFont="1" applyBorder="1" applyAlignment="1">
      <alignment horizontal="center"/>
    </xf>
    <xf numFmtId="213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3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CCECFF"/>
      <color rgb="FFFFFF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[Persas_RTA_2022_Ceraça.xlsx]Calc_Mercado!Tabela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EFC3-45F5-AA74-8ACD1E3D686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5.3005912821460867E-2</c:v>
                </c:pt>
                <c:pt idx="1">
                  <c:v>1.811908973021022E-2</c:v>
                </c:pt>
                <c:pt idx="2">
                  <c:v>-2.1419733765713524E-2</c:v>
                </c:pt>
                <c:pt idx="3">
                  <c:v>2.2226897002796359E-2</c:v>
                </c:pt>
                <c:pt idx="4">
                  <c:v>-0.22509999999999999</c:v>
                </c:pt>
                <c:pt idx="5">
                  <c:v>0.25069999999999998</c:v>
                </c:pt>
                <c:pt idx="6">
                  <c:v>9.7521035077307694E-2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0.44540053626249615</c:v>
                </c:pt>
                <c:pt idx="1">
                  <c:v>0.22255819484511324</c:v>
                </c:pt>
                <c:pt idx="2">
                  <c:v>0.1760225008851182</c:v>
                </c:pt>
                <c:pt idx="3">
                  <c:v>0</c:v>
                </c:pt>
                <c:pt idx="4">
                  <c:v>0</c:v>
                </c:pt>
                <c:pt idx="5">
                  <c:v>2.2119348367772653E-2</c:v>
                </c:pt>
                <c:pt idx="6">
                  <c:v>0.13201784889664459</c:v>
                </c:pt>
                <c:pt idx="7">
                  <c:v>1.8815707428551766E-3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24789585.420093939</c:v>
                </c:pt>
                <c:pt idx="1">
                  <c:v>26000000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14158165.283587661</c:v>
                </c:pt>
                <c:pt idx="1">
                  <c:v>12991706.553677499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9288497.3007001765</c:v>
                </c:pt>
                <c:pt idx="1">
                  <c:v>10275212.197579999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6220952.1956182271</c:v>
                </c:pt>
                <c:pt idx="1">
                  <c:v>9107505.8019202687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0.31726846064293951</c:v>
                </c:pt>
                <c:pt idx="1">
                  <c:v>0.15853302843884803</c:v>
                </c:pt>
                <c:pt idx="2">
                  <c:v>0.12538464448868314</c:v>
                </c:pt>
                <c:pt idx="3">
                  <c:v>0.11113555177199554</c:v>
                </c:pt>
                <c:pt idx="4">
                  <c:v>0.25319214403612694</c:v>
                </c:pt>
                <c:pt idx="5" formatCode="0.00%">
                  <c:v>3.4486170621406985E-2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Ceraçá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470.37</c:v>
                </c:pt>
                <c:pt idx="1">
                  <c:v>496.86</c:v>
                </c:pt>
                <c:pt idx="2">
                  <c:v>511.66</c:v>
                </c:pt>
                <c:pt idx="3">
                  <c:v>518.32999999999993</c:v>
                </c:pt>
                <c:pt idx="4">
                  <c:v>551.48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365.18421214882756</c:v>
                </c:pt>
                <c:pt idx="1">
                  <c:v>383.25666110592323</c:v>
                </c:pt>
                <c:pt idx="2">
                  <c:v>433.17305137011346</c:v>
                </c:pt>
                <c:pt idx="3">
                  <c:v>567.95630878009968</c:v>
                </c:pt>
                <c:pt idx="4">
                  <c:v>616.7292816113528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342.31986322951195</c:v>
                </c:pt>
                <c:pt idx="1">
                  <c:v>354.05669512473327</c:v>
                </c:pt>
                <c:pt idx="2">
                  <c:v>362.69024286423593</c:v>
                </c:pt>
                <c:pt idx="3">
                  <c:v>397.7978373300769</c:v>
                </c:pt>
                <c:pt idx="4">
                  <c:v>432.51481334961557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Ceraçá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252.23999999999998</c:v>
                </c:pt>
                <c:pt idx="1">
                  <c:v>284.88</c:v>
                </c:pt>
                <c:pt idx="2">
                  <c:v>353.59</c:v>
                </c:pt>
                <c:pt idx="3" formatCode="_(* #,##0.00_);_(* \(#,##0.00\);_(* &quot;-&quot;??_);_(@_)">
                  <c:v>386.15</c:v>
                </c:pt>
                <c:pt idx="4" formatCode="_(* #,##0.00_);_(* \(#,##0.00\);_(* &quot;-&quot;??_);_(@_)">
                  <c:v>430.76</c:v>
                </c:pt>
                <c:pt idx="5" formatCode="_(* #,##0.00_);_(* \(#,##0.00\);_(* &quot;-&quot;??_);_(@_)">
                  <c:v>470.37</c:v>
                </c:pt>
                <c:pt idx="6" formatCode="_(* #,##0.00_);_(* \(#,##0.00\);_(* &quot;-&quot;??_);_(@_)">
                  <c:v>496.86</c:v>
                </c:pt>
                <c:pt idx="7" formatCode="_(* #,##0.00_);_(* \(#,##0.00\);_(* &quot;-&quot;??_);_(@_)">
                  <c:v>511.66</c:v>
                </c:pt>
                <c:pt idx="8" formatCode="_(* #,##0.00_);_(* \(#,##0.00\);_(* &quot;-&quot;??_);_(@_)">
                  <c:v>518.32999999999993</c:v>
                </c:pt>
                <c:pt idx="9" formatCode="_(* #,##0.00_);_(* \(#,##0.00\);_(* &quot;-&quot;??_);_(@_)">
                  <c:v>551.48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252.23999999999998</c:v>
                </c:pt>
                <c:pt idx="1">
                  <c:v>284.55064377385997</c:v>
                </c:pt>
                <c:pt idx="2">
                  <c:v>306.04345657677374</c:v>
                </c:pt>
                <c:pt idx="3">
                  <c:v>341.20471364060052</c:v>
                </c:pt>
                <c:pt idx="4">
                  <c:v>335.36584237063204</c:v>
                </c:pt>
                <c:pt idx="5">
                  <c:v>365.18421214882756</c:v>
                </c:pt>
                <c:pt idx="6">
                  <c:v>383.25666110592323</c:v>
                </c:pt>
                <c:pt idx="7">
                  <c:v>433.17305137011346</c:v>
                </c:pt>
                <c:pt idx="8">
                  <c:v>567.95630878009968</c:v>
                </c:pt>
                <c:pt idx="9">
                  <c:v>616.7292816113528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252.23999999999998</c:v>
                </c:pt>
                <c:pt idx="1">
                  <c:v>268.66831514110498</c:v>
                </c:pt>
                <c:pt idx="2">
                  <c:v>294.26025470014361</c:v>
                </c:pt>
                <c:pt idx="3">
                  <c:v>320.66863420067364</c:v>
                </c:pt>
                <c:pt idx="4">
                  <c:v>328.54396242569004</c:v>
                </c:pt>
                <c:pt idx="5">
                  <c:v>342.31986322951195</c:v>
                </c:pt>
                <c:pt idx="6">
                  <c:v>354.05669512473327</c:v>
                </c:pt>
                <c:pt idx="7">
                  <c:v>362.69024286423593</c:v>
                </c:pt>
                <c:pt idx="8">
                  <c:v>397.7978373300769</c:v>
                </c:pt>
                <c:pt idx="9">
                  <c:v>432.51481334961557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1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7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3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29" totalsRowShown="0" headerRowDxfId="447" dataDxfId="446" totalsRowDxfId="445">
  <autoFilter ref="A2:FI629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/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zoomScaleNormal="100" workbookViewId="0">
      <selection activeCell="X59" sqref="X59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7.1900000000000006E-2</v>
      </c>
    </row>
    <row r="2" spans="2:43" ht="28.5" customHeight="1">
      <c r="B2" s="136" t="str">
        <f>CAPA!C9</f>
        <v>Ceraçá</v>
      </c>
      <c r="C2" s="70"/>
      <c r="D2" s="70"/>
      <c r="E2" s="83" t="s">
        <v>14</v>
      </c>
      <c r="F2" s="84">
        <f ca="1">LnkTXTIRTTotal</f>
        <v>-0.1532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5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94568.301000000007</v>
      </c>
      <c r="D5" s="1773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2035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74"/>
      <c r="E6" s="90"/>
      <c r="F6" s="72"/>
      <c r="G6" s="72"/>
      <c r="H6" s="68" t="str">
        <f>CONCATENATE(W6,J6,L6,O6)</f>
        <v>5697A4Não se aplicaEnergia</v>
      </c>
      <c r="I6" s="939">
        <v>2022</v>
      </c>
      <c r="J6" s="940" t="s">
        <v>533</v>
      </c>
      <c r="K6" s="940" t="s">
        <v>752</v>
      </c>
      <c r="L6" s="940" t="s">
        <v>1239</v>
      </c>
      <c r="M6" s="940" t="s">
        <v>1764</v>
      </c>
      <c r="N6" s="940">
        <v>6897</v>
      </c>
      <c r="O6" s="940" t="s">
        <v>108</v>
      </c>
      <c r="P6" s="940" t="s">
        <v>753</v>
      </c>
      <c r="Q6" s="941">
        <v>44795</v>
      </c>
      <c r="R6" s="941">
        <v>44785</v>
      </c>
      <c r="S6" s="507" t="s">
        <v>2324</v>
      </c>
      <c r="T6" s="941" t="s">
        <v>2325</v>
      </c>
      <c r="U6" s="940">
        <v>12.06</v>
      </c>
      <c r="V6" s="940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/>
      <c r="AJ6" s="896"/>
      <c r="AL6" s="898" t="s">
        <v>2347</v>
      </c>
      <c r="AM6" s="899">
        <v>0</v>
      </c>
      <c r="AO6" s="1460" t="s">
        <v>2073</v>
      </c>
      <c r="AP6" s="1461">
        <v>0</v>
      </c>
      <c r="AQ6" s="1461"/>
    </row>
    <row r="7" spans="2:43" ht="16.5">
      <c r="B7" s="942" t="s">
        <v>38</v>
      </c>
      <c r="C7" s="943">
        <v>0</v>
      </c>
      <c r="D7" s="1774"/>
      <c r="E7" s="72"/>
      <c r="F7" s="72"/>
      <c r="G7" s="72"/>
      <c r="H7" s="68" t="str">
        <f t="shared" ref="H7:H30" si="0">CONCATENATE(W7,J7,L7,O7)</f>
        <v>5697A4PontaPotência</v>
      </c>
      <c r="I7" s="505">
        <v>2022</v>
      </c>
      <c r="J7" s="506" t="s">
        <v>533</v>
      </c>
      <c r="K7" s="506" t="s">
        <v>752</v>
      </c>
      <c r="L7" s="506" t="s">
        <v>893</v>
      </c>
      <c r="M7" s="506" t="s">
        <v>1764</v>
      </c>
      <c r="N7" s="506">
        <v>6897</v>
      </c>
      <c r="O7" s="506" t="s">
        <v>1238</v>
      </c>
      <c r="P7" s="506" t="s">
        <v>753</v>
      </c>
      <c r="Q7" s="507">
        <v>44795</v>
      </c>
      <c r="R7" s="507">
        <v>44785</v>
      </c>
      <c r="S7" s="507" t="s">
        <v>2324</v>
      </c>
      <c r="T7" s="507" t="s">
        <v>2325</v>
      </c>
      <c r="U7" s="506">
        <v>24.15</v>
      </c>
      <c r="V7" s="506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2348</v>
      </c>
      <c r="AM7" s="899">
        <v>0</v>
      </c>
      <c r="AO7" s="1460" t="s">
        <v>2074</v>
      </c>
      <c r="AP7" s="1461">
        <v>0</v>
      </c>
      <c r="AQ7" s="1461"/>
    </row>
    <row r="8" spans="2:43" ht="16.5">
      <c r="B8" s="93" t="s">
        <v>39</v>
      </c>
      <c r="C8" s="119">
        <v>0</v>
      </c>
      <c r="D8" s="1774"/>
      <c r="E8" s="72"/>
      <c r="F8" s="72"/>
      <c r="G8" s="72"/>
      <c r="H8" s="68" t="str">
        <f t="shared" si="0"/>
        <v>5697A4Fora pontaPotência</v>
      </c>
      <c r="I8" s="505">
        <v>2022</v>
      </c>
      <c r="J8" s="506" t="s">
        <v>533</v>
      </c>
      <c r="K8" s="506" t="s">
        <v>752</v>
      </c>
      <c r="L8" s="506" t="s">
        <v>2326</v>
      </c>
      <c r="M8" s="506" t="s">
        <v>1764</v>
      </c>
      <c r="N8" s="506">
        <v>6897</v>
      </c>
      <c r="O8" s="506" t="s">
        <v>1238</v>
      </c>
      <c r="P8" s="506" t="s">
        <v>753</v>
      </c>
      <c r="Q8" s="507">
        <v>44795</v>
      </c>
      <c r="R8" s="507">
        <v>44785</v>
      </c>
      <c r="S8" s="507" t="s">
        <v>2324</v>
      </c>
      <c r="T8" s="507" t="s">
        <v>2325</v>
      </c>
      <c r="U8" s="506">
        <v>13.88</v>
      </c>
      <c r="V8" s="506">
        <v>111</v>
      </c>
      <c r="W8" s="68">
        <f>VLOOKUP(V8,DescontosTE[[#All],[idsreag supridora]:[codsariSUP]],2,FALSE)</f>
        <v>5697</v>
      </c>
      <c r="AI8" s="895"/>
      <c r="AJ8" s="896"/>
      <c r="AL8" s="898" t="s">
        <v>2349</v>
      </c>
      <c r="AM8" s="899">
        <v>0</v>
      </c>
      <c r="AO8" s="1460" t="s">
        <v>2075</v>
      </c>
      <c r="AP8" s="1461">
        <v>0</v>
      </c>
      <c r="AQ8" s="1461"/>
    </row>
    <row r="9" spans="2:43" ht="16.5">
      <c r="B9" s="93" t="s">
        <v>40</v>
      </c>
      <c r="C9" s="119">
        <v>105469.80913964201</v>
      </c>
      <c r="D9" s="1774"/>
      <c r="E9" s="72"/>
      <c r="F9" s="72"/>
      <c r="G9" s="72"/>
      <c r="H9" s="68" t="e">
        <f t="shared" si="0"/>
        <v>#N/A</v>
      </c>
      <c r="I9" s="505"/>
      <c r="J9" s="506"/>
      <c r="K9" s="506"/>
      <c r="L9" s="506"/>
      <c r="M9" s="506"/>
      <c r="N9" s="506"/>
      <c r="O9" s="506"/>
      <c r="P9" s="506"/>
      <c r="Q9" s="507"/>
      <c r="R9" s="507"/>
      <c r="S9" s="507"/>
      <c r="T9" s="507"/>
      <c r="U9" s="506"/>
      <c r="V9" s="506"/>
      <c r="W9" s="68" t="e">
        <f>VLOOKUP(V9,DescontosTE[[#All],[idsreag supridora]:[codsariSUP]],2,FALSE)</f>
        <v>#N/A</v>
      </c>
      <c r="AI9" s="895"/>
      <c r="AJ9" s="896"/>
      <c r="AL9" s="898" t="s">
        <v>2350</v>
      </c>
      <c r="AM9" s="899"/>
      <c r="AO9" s="1460"/>
      <c r="AP9" s="1461"/>
      <c r="AQ9" s="1461" t="s">
        <v>2076</v>
      </c>
    </row>
    <row r="10" spans="2:43" ht="16.5">
      <c r="B10" s="93" t="s">
        <v>41</v>
      </c>
      <c r="C10" s="119">
        <v>5445793.9957999997</v>
      </c>
      <c r="D10" s="1774"/>
      <c r="H10" s="68" t="e">
        <f t="shared" si="0"/>
        <v>#N/A</v>
      </c>
      <c r="I10" s="505"/>
      <c r="J10" s="506"/>
      <c r="K10" s="506"/>
      <c r="L10" s="506"/>
      <c r="M10" s="506"/>
      <c r="N10" s="506"/>
      <c r="O10" s="506"/>
      <c r="P10" s="506"/>
      <c r="Q10" s="507"/>
      <c r="R10" s="507"/>
      <c r="S10" s="507"/>
      <c r="T10" s="507"/>
      <c r="U10" s="506"/>
      <c r="V10" s="506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2351</v>
      </c>
      <c r="AM10" s="899">
        <v>0</v>
      </c>
    </row>
    <row r="11" spans="2:43" ht="16.5">
      <c r="B11" s="93" t="s">
        <v>46</v>
      </c>
      <c r="C11" s="119">
        <v>0</v>
      </c>
      <c r="D11" s="1774"/>
      <c r="H11" s="68" t="e">
        <f t="shared" si="0"/>
        <v>#N/A</v>
      </c>
      <c r="I11" s="505"/>
      <c r="J11" s="506"/>
      <c r="K11" s="506"/>
      <c r="L11" s="506"/>
      <c r="M11" s="506"/>
      <c r="N11" s="506"/>
      <c r="O11" s="506"/>
      <c r="P11" s="506"/>
      <c r="Q11" s="507"/>
      <c r="R11" s="507"/>
      <c r="S11" s="507"/>
      <c r="T11" s="507"/>
      <c r="U11" s="506"/>
      <c r="V11" s="506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/>
      <c r="AI11" s="895"/>
      <c r="AJ11" s="896"/>
      <c r="AL11" s="898" t="s">
        <v>2352</v>
      </c>
      <c r="AM11" s="899">
        <v>0</v>
      </c>
    </row>
    <row r="12" spans="2:43" ht="16.5">
      <c r="B12" s="93" t="s">
        <v>47</v>
      </c>
      <c r="C12" s="119">
        <v>880716.71863999998</v>
      </c>
      <c r="D12" s="1774"/>
      <c r="H12" s="68" t="e">
        <f t="shared" si="0"/>
        <v>#N/A</v>
      </c>
      <c r="I12" s="505"/>
      <c r="J12" s="506"/>
      <c r="K12" s="506"/>
      <c r="L12" s="506"/>
      <c r="M12" s="506"/>
      <c r="N12" s="506"/>
      <c r="O12" s="506"/>
      <c r="P12" s="506"/>
      <c r="Q12" s="507"/>
      <c r="R12" s="507"/>
      <c r="S12" s="507"/>
      <c r="T12" s="507"/>
      <c r="U12" s="506"/>
      <c r="V12" s="506"/>
      <c r="W12" s="68" t="e">
        <f>VLOOKUP(V12,DescontosTE[[#All],[idsreag supridora]:[codsariSUP]],2,FALSE)</f>
        <v>#N/A</v>
      </c>
      <c r="AI12" s="895"/>
      <c r="AJ12" s="896"/>
      <c r="AL12" s="898" t="s">
        <v>2353</v>
      </c>
      <c r="AM12" s="899">
        <v>0</v>
      </c>
    </row>
    <row r="13" spans="2:43" ht="16.5">
      <c r="B13" s="93" t="s">
        <v>48</v>
      </c>
      <c r="C13" s="119">
        <v>0</v>
      </c>
      <c r="D13" s="1774"/>
      <c r="H13" s="68" t="e">
        <f t="shared" si="0"/>
        <v>#N/A</v>
      </c>
      <c r="I13" s="505"/>
      <c r="J13" s="506"/>
      <c r="K13" s="506"/>
      <c r="L13" s="506"/>
      <c r="M13" s="506"/>
      <c r="N13" s="506"/>
      <c r="O13" s="506"/>
      <c r="P13" s="506"/>
      <c r="Q13" s="507"/>
      <c r="R13" s="507"/>
      <c r="S13" s="507"/>
      <c r="T13" s="507"/>
      <c r="U13" s="506"/>
      <c r="V13" s="506"/>
      <c r="W13" s="68" t="e">
        <f>VLOOKUP(V13,DescontosTE[[#All],[idsreag supridora]:[codsariSUP]],2,FALSE)</f>
        <v>#N/A</v>
      </c>
      <c r="AI13" s="895"/>
      <c r="AJ13" s="896"/>
      <c r="AL13" s="898" t="s">
        <v>2354</v>
      </c>
      <c r="AM13" s="899">
        <v>0</v>
      </c>
    </row>
    <row r="14" spans="2:43" ht="16.5">
      <c r="B14" s="93" t="s">
        <v>49</v>
      </c>
      <c r="C14" s="119">
        <v>0</v>
      </c>
      <c r="D14" s="1774"/>
      <c r="H14" s="68" t="e">
        <f t="shared" si="0"/>
        <v>#N/A</v>
      </c>
      <c r="I14" s="505"/>
      <c r="J14" s="506"/>
      <c r="K14" s="506"/>
      <c r="L14" s="506"/>
      <c r="M14" s="506"/>
      <c r="N14" s="506"/>
      <c r="O14" s="506"/>
      <c r="P14" s="506"/>
      <c r="Q14" s="507"/>
      <c r="R14" s="507"/>
      <c r="S14" s="507"/>
      <c r="T14" s="507"/>
      <c r="U14" s="506"/>
      <c r="V14" s="506"/>
      <c r="W14" s="68" t="e">
        <f>VLOOKUP(V14,DescontosTE[[#All],[idsreag supridora]:[codsariSUP]],2,FALSE)</f>
        <v>#N/A</v>
      </c>
      <c r="AA14" s="797"/>
      <c r="AB14" s="797"/>
      <c r="AC14" s="797"/>
      <c r="AI14" s="895"/>
      <c r="AJ14" s="896"/>
      <c r="AL14" s="898" t="s">
        <v>2355</v>
      </c>
      <c r="AM14" s="899">
        <v>0</v>
      </c>
    </row>
    <row r="15" spans="2:43" ht="16.5">
      <c r="B15" s="944" t="s">
        <v>2036</v>
      </c>
      <c r="C15" s="945">
        <v>0</v>
      </c>
      <c r="D15" s="1774"/>
      <c r="F15" s="92"/>
      <c r="H15" s="68" t="e">
        <f t="shared" si="0"/>
        <v>#N/A</v>
      </c>
      <c r="I15" s="505"/>
      <c r="J15" s="506"/>
      <c r="K15" s="506"/>
      <c r="L15" s="506"/>
      <c r="M15" s="506"/>
      <c r="N15" s="506"/>
      <c r="O15" s="506"/>
      <c r="P15" s="506"/>
      <c r="Q15" s="507"/>
      <c r="R15" s="507"/>
      <c r="S15" s="507"/>
      <c r="T15" s="507"/>
      <c r="U15" s="506"/>
      <c r="V15" s="506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7"/>
      <c r="AI15" s="895"/>
      <c r="AJ15" s="896"/>
      <c r="AL15" s="898"/>
      <c r="AM15" s="899"/>
    </row>
    <row r="16" spans="2:43" ht="16.5">
      <c r="D16" s="1774"/>
      <c r="F16" s="92"/>
      <c r="H16" s="68" t="e">
        <f t="shared" si="0"/>
        <v>#N/A</v>
      </c>
      <c r="I16" s="505"/>
      <c r="J16" s="506"/>
      <c r="K16" s="506"/>
      <c r="L16" s="506"/>
      <c r="M16" s="506"/>
      <c r="N16" s="506"/>
      <c r="O16" s="506"/>
      <c r="P16" s="506"/>
      <c r="Q16" s="507"/>
      <c r="R16" s="507"/>
      <c r="S16" s="507"/>
      <c r="T16" s="507"/>
      <c r="U16" s="506"/>
      <c r="V16" s="506"/>
      <c r="W16" s="68" t="e">
        <f>VLOOKUP(V16,DescontosTE[[#All],[idsreag supridora]:[codsariSUP]],2,FALSE)</f>
        <v>#N/A</v>
      </c>
      <c r="AA16" s="848">
        <v>2022</v>
      </c>
      <c r="AB16" s="849">
        <v>1635.6737817539956</v>
      </c>
      <c r="AC16" s="847"/>
      <c r="AI16" s="895"/>
      <c r="AJ16" s="896"/>
      <c r="AL16" s="898"/>
      <c r="AM16" s="899"/>
    </row>
    <row r="17" spans="2:42" ht="16.5">
      <c r="B17" s="937" t="s">
        <v>50</v>
      </c>
      <c r="C17" s="946"/>
      <c r="D17" s="1774"/>
      <c r="F17" s="92"/>
      <c r="H17" s="68" t="e">
        <f t="shared" si="0"/>
        <v>#N/A</v>
      </c>
      <c r="I17" s="505"/>
      <c r="J17" s="506"/>
      <c r="K17" s="506"/>
      <c r="L17" s="506"/>
      <c r="M17" s="506"/>
      <c r="N17" s="506"/>
      <c r="O17" s="506"/>
      <c r="P17" s="506"/>
      <c r="Q17" s="507"/>
      <c r="R17" s="507"/>
      <c r="S17" s="507"/>
      <c r="T17" s="507"/>
      <c r="U17" s="506"/>
      <c r="V17" s="506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74"/>
      <c r="F18" s="92"/>
      <c r="H18" s="68" t="e">
        <f t="shared" si="0"/>
        <v>#N/A</v>
      </c>
      <c r="I18" s="505"/>
      <c r="J18" s="506"/>
      <c r="K18" s="506"/>
      <c r="L18" s="506"/>
      <c r="M18" s="506"/>
      <c r="N18" s="506"/>
      <c r="O18" s="506"/>
      <c r="P18" s="506"/>
      <c r="Q18" s="507"/>
      <c r="R18" s="507"/>
      <c r="S18" s="507"/>
      <c r="T18" s="507"/>
      <c r="U18" s="506"/>
      <c r="V18" s="506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74"/>
      <c r="F19" s="92"/>
      <c r="H19" s="68" t="e">
        <f t="shared" si="0"/>
        <v>#N/A</v>
      </c>
      <c r="I19" s="505"/>
      <c r="J19" s="506"/>
      <c r="K19" s="506"/>
      <c r="L19" s="506"/>
      <c r="M19" s="506"/>
      <c r="N19" s="506"/>
      <c r="O19" s="506"/>
      <c r="P19" s="506"/>
      <c r="Q19" s="507"/>
      <c r="R19" s="507"/>
      <c r="S19" s="507"/>
      <c r="T19" s="507"/>
      <c r="U19" s="506"/>
      <c r="V19" s="506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74"/>
      <c r="F20" s="92"/>
      <c r="H20" s="68" t="e">
        <f t="shared" si="0"/>
        <v>#N/A</v>
      </c>
      <c r="I20" s="505"/>
      <c r="J20" s="506"/>
      <c r="K20" s="506"/>
      <c r="L20" s="506"/>
      <c r="M20" s="506"/>
      <c r="N20" s="506"/>
      <c r="O20" s="506"/>
      <c r="P20" s="506"/>
      <c r="Q20" s="507"/>
      <c r="R20" s="507"/>
      <c r="S20" s="507"/>
      <c r="T20" s="507"/>
      <c r="U20" s="506"/>
      <c r="V20" s="506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74"/>
      <c r="F21" s="92"/>
      <c r="H21" s="68" t="e">
        <f t="shared" si="0"/>
        <v>#N/A</v>
      </c>
      <c r="I21" s="505"/>
      <c r="J21" s="506"/>
      <c r="K21" s="506"/>
      <c r="L21" s="506"/>
      <c r="M21" s="506"/>
      <c r="N21" s="506"/>
      <c r="O21" s="506"/>
      <c r="P21" s="506"/>
      <c r="Q21" s="507"/>
      <c r="R21" s="507"/>
      <c r="S21" s="507"/>
      <c r="T21" s="507"/>
      <c r="U21" s="506"/>
      <c r="V21" s="506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4"/>
      <c r="H22" s="68" t="e">
        <f t="shared" si="0"/>
        <v>#N/A</v>
      </c>
      <c r="I22" s="505"/>
      <c r="J22" s="506"/>
      <c r="K22" s="506"/>
      <c r="L22" s="506"/>
      <c r="M22" s="506"/>
      <c r="N22" s="506"/>
      <c r="O22" s="506"/>
      <c r="P22" s="506"/>
      <c r="Q22" s="507"/>
      <c r="R22" s="507"/>
      <c r="S22" s="507"/>
      <c r="T22" s="507"/>
      <c r="U22" s="506"/>
      <c r="V22" s="506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74"/>
      <c r="F23" s="92"/>
      <c r="H23" s="68" t="e">
        <f t="shared" si="0"/>
        <v>#N/A</v>
      </c>
      <c r="I23" s="505"/>
      <c r="J23" s="506"/>
      <c r="K23" s="506"/>
      <c r="L23" s="506"/>
      <c r="M23" s="506"/>
      <c r="N23" s="506"/>
      <c r="O23" s="506"/>
      <c r="P23" s="506"/>
      <c r="Q23" s="507"/>
      <c r="R23" s="507"/>
      <c r="S23" s="507"/>
      <c r="T23" s="507"/>
      <c r="U23" s="506"/>
      <c r="V23" s="506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74"/>
      <c r="F24" s="92"/>
      <c r="H24" s="68" t="e">
        <f t="shared" si="0"/>
        <v>#N/A</v>
      </c>
      <c r="I24" s="505"/>
      <c r="J24" s="506"/>
      <c r="K24" s="506"/>
      <c r="L24" s="506"/>
      <c r="M24" s="506"/>
      <c r="N24" s="506"/>
      <c r="O24" s="506"/>
      <c r="P24" s="506"/>
      <c r="Q24" s="507"/>
      <c r="R24" s="507"/>
      <c r="S24" s="507"/>
      <c r="T24" s="507"/>
      <c r="U24" s="506"/>
      <c r="V24" s="506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9079233.3119200002</v>
      </c>
      <c r="D25" s="1774"/>
      <c r="H25" s="68" t="e">
        <f t="shared" si="0"/>
        <v>#N/A</v>
      </c>
      <c r="I25" s="505"/>
      <c r="J25" s="506"/>
      <c r="K25" s="506"/>
      <c r="L25" s="506"/>
      <c r="M25" s="506"/>
      <c r="N25" s="506"/>
      <c r="O25" s="506"/>
      <c r="P25" s="506"/>
      <c r="Q25" s="507"/>
      <c r="R25" s="507"/>
      <c r="S25" s="507"/>
      <c r="T25" s="507"/>
      <c r="U25" s="506"/>
      <c r="V25" s="506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-306835.972616171</v>
      </c>
      <c r="AM25" s="1464"/>
      <c r="AN25" s="1464"/>
      <c r="AO25" s="1464"/>
      <c r="AP25" s="1463"/>
    </row>
    <row r="26" spans="2:42" ht="16.5">
      <c r="B26" s="937" t="s">
        <v>67</v>
      </c>
      <c r="C26" s="947">
        <v>24750524.479245801</v>
      </c>
      <c r="D26" s="1774"/>
      <c r="H26" s="68" t="e">
        <f t="shared" si="0"/>
        <v>#N/A</v>
      </c>
      <c r="I26" s="505"/>
      <c r="J26" s="506"/>
      <c r="K26" s="506"/>
      <c r="L26" s="506"/>
      <c r="M26" s="506"/>
      <c r="N26" s="506"/>
      <c r="O26" s="506"/>
      <c r="P26" s="506"/>
      <c r="Q26" s="507"/>
      <c r="R26" s="507"/>
      <c r="S26" s="507"/>
      <c r="T26" s="507"/>
      <c r="U26" s="506"/>
      <c r="V26" s="506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-44007.831276131197</v>
      </c>
      <c r="AM26" s="1464"/>
      <c r="AN26" s="1464"/>
      <c r="AO26" s="1464"/>
      <c r="AP26" s="1463"/>
    </row>
    <row r="27" spans="2:42" ht="16.5">
      <c r="C27" s="69"/>
      <c r="D27" s="1774"/>
      <c r="H27" s="68" t="e">
        <f t="shared" si="0"/>
        <v>#N/A</v>
      </c>
      <c r="I27" s="505"/>
      <c r="J27" s="506"/>
      <c r="K27" s="506"/>
      <c r="L27" s="506"/>
      <c r="M27" s="506"/>
      <c r="N27" s="506"/>
      <c r="O27" s="506"/>
      <c r="P27" s="506"/>
      <c r="Q27" s="507"/>
      <c r="R27" s="507"/>
      <c r="S27" s="507"/>
      <c r="T27" s="507"/>
      <c r="U27" s="506"/>
      <c r="V27" s="506"/>
      <c r="W27" s="68" t="e">
        <f>VLOOKUP(V27,DescontosTE[[#All],[idsreag supridora]:[codsariSUP]],2,FALSE)</f>
        <v>#N/A</v>
      </c>
      <c r="AA27" s="848" t="s">
        <v>2070</v>
      </c>
      <c r="AB27" s="849"/>
      <c r="AI27" s="257" t="s">
        <v>2077</v>
      </c>
      <c r="AJ27" s="257" t="s">
        <v>40</v>
      </c>
      <c r="AK27" s="69">
        <v>-4252.8496128101297</v>
      </c>
      <c r="AM27" s="1464"/>
      <c r="AN27" s="1464"/>
      <c r="AO27" s="1464"/>
      <c r="AP27" s="1463"/>
    </row>
    <row r="28" spans="2:42" ht="16.5">
      <c r="B28" s="936" t="s">
        <v>68</v>
      </c>
      <c r="C28" s="948"/>
      <c r="D28" s="1774"/>
      <c r="H28" s="68" t="e">
        <f t="shared" si="0"/>
        <v>#N/A</v>
      </c>
      <c r="I28" s="505"/>
      <c r="J28" s="506"/>
      <c r="K28" s="506"/>
      <c r="L28" s="506"/>
      <c r="M28" s="506"/>
      <c r="N28" s="506"/>
      <c r="O28" s="506"/>
      <c r="P28" s="506"/>
      <c r="Q28" s="507"/>
      <c r="R28" s="507"/>
      <c r="S28" s="507"/>
      <c r="T28" s="507"/>
      <c r="U28" s="506"/>
      <c r="V28" s="506"/>
      <c r="W28" s="68" t="e">
        <f>VLOOKUP(V28,DescontosTE[[#All],[idsreag supridora]:[codsariSUP]],2,FALSE)</f>
        <v>#N/A</v>
      </c>
      <c r="AA28" s="848" t="s">
        <v>2071</v>
      </c>
      <c r="AB28" s="849"/>
      <c r="AI28" s="257" t="s">
        <v>2078</v>
      </c>
      <c r="AJ28" s="257" t="s">
        <v>2079</v>
      </c>
      <c r="AK28" s="69">
        <v>0</v>
      </c>
      <c r="AM28" s="1464"/>
      <c r="AN28" s="1464"/>
      <c r="AO28" s="1464"/>
      <c r="AP28" s="1463"/>
    </row>
    <row r="29" spans="2:42" ht="18" customHeight="1">
      <c r="D29" s="1774"/>
      <c r="H29" s="68" t="e">
        <f t="shared" si="0"/>
        <v>#N/A</v>
      </c>
      <c r="I29" s="505"/>
      <c r="J29" s="506"/>
      <c r="K29" s="506"/>
      <c r="L29" s="506"/>
      <c r="M29" s="506"/>
      <c r="N29" s="506"/>
      <c r="O29" s="506"/>
      <c r="P29" s="506"/>
      <c r="Q29" s="507"/>
      <c r="R29" s="507"/>
      <c r="S29" s="507"/>
      <c r="T29" s="507"/>
      <c r="U29" s="506"/>
      <c r="V29" s="506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2358</v>
      </c>
      <c r="AK29" s="69">
        <v>-43241.693109555599</v>
      </c>
      <c r="AM29" s="1464"/>
      <c r="AN29" s="1464"/>
      <c r="AO29" s="1464"/>
      <c r="AP29" s="1463"/>
    </row>
    <row r="30" spans="2:42" ht="16.5">
      <c r="B30" s="949"/>
      <c r="C30" s="950"/>
      <c r="D30" s="1774"/>
      <c r="H30" s="68" t="e">
        <f t="shared" si="0"/>
        <v>#N/A</v>
      </c>
      <c r="I30" s="505"/>
      <c r="J30" s="506"/>
      <c r="K30" s="506"/>
      <c r="L30" s="506"/>
      <c r="M30" s="506"/>
      <c r="N30" s="506"/>
      <c r="O30" s="506"/>
      <c r="P30" s="506"/>
      <c r="Q30" s="507"/>
      <c r="R30" s="507"/>
      <c r="S30" s="507"/>
      <c r="T30" s="507"/>
      <c r="U30" s="506"/>
      <c r="V30" s="506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-10692706.342225499</v>
      </c>
      <c r="AM30" s="1464"/>
      <c r="AN30" s="1464"/>
      <c r="AO30" s="1464"/>
      <c r="AP30" s="1463"/>
    </row>
    <row r="31" spans="2:42">
      <c r="B31" s="652" t="s">
        <v>69</v>
      </c>
      <c r="C31" s="653">
        <v>9.1274335705953599E-2</v>
      </c>
      <c r="D31" s="1775"/>
      <c r="AI31" s="257"/>
      <c r="AJ31" s="257"/>
      <c r="AK31" s="69"/>
      <c r="AM31" s="1464"/>
      <c r="AN31" s="1464"/>
      <c r="AO31" s="1464"/>
      <c r="AP31" s="1463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9" t="s">
        <v>41</v>
      </c>
      <c r="C35" s="953">
        <v>4934079.7547999993</v>
      </c>
      <c r="AA35" s="196"/>
      <c r="AB35" s="1576"/>
      <c r="AC35" s="1576"/>
      <c r="AD35" s="1576"/>
      <c r="AI35" s="257"/>
      <c r="AJ35" s="257"/>
      <c r="AK35" s="69"/>
    </row>
    <row r="36" spans="1:37">
      <c r="B36" s="652" t="s">
        <v>47</v>
      </c>
      <c r="C36" s="87">
        <v>661689.8915899999</v>
      </c>
      <c r="AA36" s="196"/>
      <c r="AB36" s="1576"/>
      <c r="AC36" s="1576"/>
      <c r="AD36" s="1576"/>
      <c r="AI36" s="257"/>
      <c r="AJ36" s="257"/>
      <c r="AK36" s="69"/>
    </row>
    <row r="37" spans="1:37">
      <c r="B37" s="951" t="s">
        <v>40</v>
      </c>
      <c r="C37" s="954">
        <v>98271.217782341148</v>
      </c>
      <c r="AA37" s="196"/>
      <c r="AB37" s="1576"/>
      <c r="AC37" s="1576"/>
      <c r="AD37" s="1576"/>
      <c r="AI37" s="257"/>
      <c r="AJ37" s="257"/>
      <c r="AK37" s="69"/>
    </row>
    <row r="38" spans="1:37">
      <c r="AA38" s="196"/>
      <c r="AB38" s="1576"/>
      <c r="AC38" s="1576"/>
      <c r="AD38" s="1576"/>
      <c r="AI38" s="257"/>
      <c r="AJ38" s="257"/>
      <c r="AK38" s="69"/>
    </row>
    <row r="39" spans="1:37">
      <c r="D39" s="89"/>
      <c r="AA39" s="196"/>
      <c r="AB39" s="1576"/>
      <c r="AC39" s="1576"/>
      <c r="AD39" s="1576"/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/>
      <c r="AB40" s="1576"/>
      <c r="AC40" s="1576"/>
      <c r="AD40" s="1576"/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1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6"/>
      <c r="AC41" s="1576"/>
      <c r="AD41" s="1576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7">
        <v>44509</v>
      </c>
      <c r="C42" s="531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6"/>
      <c r="AC42" s="1576"/>
      <c r="AD42" s="1576"/>
      <c r="AI42" s="257"/>
      <c r="AJ42" s="257"/>
      <c r="AK42" s="69"/>
    </row>
    <row r="43" spans="1:37" ht="16.5">
      <c r="A43" s="955">
        <f t="shared" si="1"/>
        <v>44531</v>
      </c>
      <c r="B43" s="507">
        <v>44538</v>
      </c>
      <c r="C43" s="531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5">
        <v>2022</v>
      </c>
      <c r="J43" s="506" t="s">
        <v>533</v>
      </c>
      <c r="K43" s="506" t="s">
        <v>2327</v>
      </c>
      <c r="L43" s="506" t="s">
        <v>1239</v>
      </c>
      <c r="M43" s="506" t="s">
        <v>1764</v>
      </c>
      <c r="N43" s="506">
        <v>6897</v>
      </c>
      <c r="O43" s="507">
        <v>44795</v>
      </c>
      <c r="P43" s="507">
        <v>44785</v>
      </c>
      <c r="Q43" s="507" t="s">
        <v>2324</v>
      </c>
      <c r="R43" s="507" t="s">
        <v>2325</v>
      </c>
      <c r="S43" s="506">
        <v>284.99</v>
      </c>
      <c r="T43" s="506">
        <v>111</v>
      </c>
      <c r="U43" s="68">
        <f>VLOOKUP(T43,DescontosTE[[#All],[idsreag supridora]:[codsariSUP]],2,FALSE)</f>
        <v>5697</v>
      </c>
      <c r="AA43" s="196"/>
      <c r="AB43" s="1576"/>
      <c r="AC43" s="1576"/>
      <c r="AD43" s="1576"/>
      <c r="AI43" s="257"/>
      <c r="AJ43" s="257"/>
      <c r="AK43" s="69"/>
    </row>
    <row r="44" spans="1:37" ht="16.5">
      <c r="A44" s="955">
        <f t="shared" si="1"/>
        <v>44562</v>
      </c>
      <c r="B44" s="507">
        <v>44566</v>
      </c>
      <c r="C44" s="531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5"/>
      <c r="J44" s="506"/>
      <c r="K44" s="506"/>
      <c r="L44" s="506"/>
      <c r="M44" s="506"/>
      <c r="N44" s="506"/>
      <c r="O44" s="507"/>
      <c r="P44" s="507"/>
      <c r="Q44" s="507"/>
      <c r="R44" s="507"/>
      <c r="S44" s="506"/>
      <c r="T44" s="506"/>
      <c r="U44" s="68" t="e">
        <f>VLOOKUP(T44,DescontosTE[[#All],[idsreag supridora]:[codsariSUP]],2,FALSE)</f>
        <v>#N/A</v>
      </c>
      <c r="AA44" s="196"/>
      <c r="AB44" s="1576"/>
      <c r="AC44" s="1576"/>
      <c r="AD44" s="1576"/>
      <c r="AI44" s="257"/>
      <c r="AJ44" s="257"/>
      <c r="AK44" s="69"/>
    </row>
    <row r="45" spans="1:37" ht="16.5">
      <c r="A45" s="955">
        <f t="shared" si="1"/>
        <v>44593</v>
      </c>
      <c r="B45" s="507">
        <v>44599</v>
      </c>
      <c r="C45" s="531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5"/>
      <c r="J45" s="506"/>
      <c r="K45" s="506"/>
      <c r="L45" s="506"/>
      <c r="M45" s="506"/>
      <c r="N45" s="506"/>
      <c r="O45" s="507"/>
      <c r="P45" s="507"/>
      <c r="Q45" s="507"/>
      <c r="R45" s="507"/>
      <c r="S45" s="506"/>
      <c r="T45" s="506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7">
        <v>44629</v>
      </c>
      <c r="C46" s="531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5"/>
      <c r="J46" s="506"/>
      <c r="K46" s="506"/>
      <c r="L46" s="506"/>
      <c r="M46" s="506"/>
      <c r="N46" s="506"/>
      <c r="O46" s="507"/>
      <c r="P46" s="507"/>
      <c r="Q46" s="507"/>
      <c r="R46" s="507"/>
      <c r="S46" s="506"/>
      <c r="T46" s="506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7">
        <v>44657</v>
      </c>
      <c r="C47" s="531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5"/>
      <c r="J47" s="506"/>
      <c r="K47" s="506"/>
      <c r="L47" s="506"/>
      <c r="M47" s="506"/>
      <c r="N47" s="506"/>
      <c r="O47" s="507"/>
      <c r="P47" s="507"/>
      <c r="Q47" s="507"/>
      <c r="R47" s="507"/>
      <c r="S47" s="506"/>
      <c r="T47" s="506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7">
        <v>44691</v>
      </c>
      <c r="C48" s="531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5"/>
      <c r="J48" s="506"/>
      <c r="K48" s="506"/>
      <c r="L48" s="506"/>
      <c r="M48" s="506"/>
      <c r="N48" s="506"/>
      <c r="O48" s="507"/>
      <c r="P48" s="507"/>
      <c r="Q48" s="507"/>
      <c r="R48" s="507"/>
      <c r="S48" s="506"/>
      <c r="T48" s="506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7">
        <v>44718</v>
      </c>
      <c r="C49" s="531">
        <v>601942.50009999995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5"/>
      <c r="J49" s="506"/>
      <c r="K49" s="506"/>
      <c r="L49" s="506"/>
      <c r="M49" s="506"/>
      <c r="N49" s="506"/>
      <c r="O49" s="506"/>
      <c r="P49" s="506"/>
      <c r="Q49" s="507"/>
      <c r="R49" s="507"/>
      <c r="S49" s="507"/>
      <c r="T49" s="506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7">
        <v>44749</v>
      </c>
      <c r="C50" s="531">
        <v>40043.448400000001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5"/>
      <c r="J50" s="506"/>
      <c r="K50" s="506"/>
      <c r="L50" s="506"/>
      <c r="M50" s="506"/>
      <c r="N50" s="506"/>
      <c r="O50" s="506"/>
      <c r="P50" s="506"/>
      <c r="Q50" s="507"/>
      <c r="R50" s="507"/>
      <c r="S50" s="507"/>
      <c r="T50" s="506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5">
        <f t="shared" si="1"/>
        <v>44774</v>
      </c>
      <c r="B51" s="507">
        <v>44781</v>
      </c>
      <c r="C51" s="531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5"/>
      <c r="J51" s="506"/>
      <c r="K51" s="506"/>
      <c r="L51" s="506"/>
      <c r="M51" s="506"/>
      <c r="N51" s="506"/>
      <c r="O51" s="506"/>
      <c r="P51" s="506"/>
      <c r="Q51" s="507"/>
      <c r="R51" s="507"/>
      <c r="S51" s="507"/>
      <c r="T51" s="506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5">
        <f t="shared" si="1"/>
        <v>44805</v>
      </c>
      <c r="B52" s="507">
        <v>44809</v>
      </c>
      <c r="C52" s="531">
        <v>-12.63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5"/>
      <c r="J52" s="506"/>
      <c r="K52" s="506"/>
      <c r="L52" s="506"/>
      <c r="M52" s="506"/>
      <c r="N52" s="506"/>
      <c r="O52" s="506"/>
      <c r="P52" s="506"/>
      <c r="Q52" s="507"/>
      <c r="R52" s="507"/>
      <c r="S52" s="507"/>
      <c r="T52" s="506"/>
      <c r="U52" s="68" t="e">
        <f>VLOOKUP(T52,DescontosTE[[#All],[idsreag supridora]:[codsariSUP]],2,FALSE)</f>
        <v>#N/A</v>
      </c>
      <c r="AA52" s="196"/>
      <c r="AB52" s="1577"/>
    </row>
    <row r="53" spans="1:28" ht="16.5">
      <c r="A53" s="955">
        <f t="shared" si="1"/>
        <v>1</v>
      </c>
      <c r="B53" s="507"/>
      <c r="C53" s="531"/>
      <c r="D53" s="9" t="b">
        <f ca="1">BD!E53&gt;=CAPA!$L$73</f>
        <v>0</v>
      </c>
      <c r="E53" s="233">
        <f>Indexador!L46</f>
        <v>621530.44859260169</v>
      </c>
      <c r="F53" s="479">
        <f>CAPA!B75</f>
        <v>44713</v>
      </c>
      <c r="H53" s="68" t="e">
        <f t="shared" si="2"/>
        <v>#N/A</v>
      </c>
      <c r="I53" s="505"/>
      <c r="J53" s="506"/>
      <c r="K53" s="506"/>
      <c r="L53" s="506"/>
      <c r="M53" s="506"/>
      <c r="N53" s="506"/>
      <c r="O53" s="506"/>
      <c r="P53" s="506"/>
      <c r="Q53" s="507"/>
      <c r="R53" s="507"/>
      <c r="S53" s="507"/>
      <c r="T53" s="506"/>
      <c r="U53" s="68" t="e">
        <f>VLOOKUP(T53,DescontosTE[[#All],[idsreag supridora]:[codsariSUP]],2,FALSE)</f>
        <v>#N/A</v>
      </c>
      <c r="AA53" s="196"/>
      <c r="AB53" s="1577"/>
    </row>
    <row r="54" spans="1:28" ht="16.5">
      <c r="A54" s="955">
        <f t="shared" si="1"/>
        <v>1</v>
      </c>
      <c r="B54" s="507"/>
      <c r="C54" s="531"/>
      <c r="D54" s="9" t="b">
        <f ca="1">BD!E54&gt;=CAPA!$L$73</f>
        <v>0</v>
      </c>
      <c r="E54" s="233">
        <f>Indexador!L47</f>
        <v>40930.933253629541</v>
      </c>
      <c r="F54" s="479">
        <f>CAPA!B76</f>
        <v>44743</v>
      </c>
      <c r="H54" s="68" t="e">
        <f t="shared" si="2"/>
        <v>#N/A</v>
      </c>
      <c r="I54" s="505"/>
      <c r="J54" s="506"/>
      <c r="K54" s="506"/>
      <c r="L54" s="506"/>
      <c r="M54" s="506"/>
      <c r="N54" s="506"/>
      <c r="O54" s="506"/>
      <c r="P54" s="506"/>
      <c r="Q54" s="507"/>
      <c r="R54" s="507"/>
      <c r="S54" s="507"/>
      <c r="T54" s="506"/>
      <c r="U54" s="68" t="e">
        <f>VLOOKUP(T54,DescontosTE[[#All],[idsreag supridora]:[codsariSUP]],2,FALSE)</f>
        <v>#N/A</v>
      </c>
      <c r="AA54" s="196"/>
      <c r="AB54" s="1577"/>
    </row>
    <row r="55" spans="1:28" ht="16.5">
      <c r="A55" s="955">
        <f t="shared" si="1"/>
        <v>1</v>
      </c>
      <c r="B55" s="507"/>
      <c r="C55" s="531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5"/>
      <c r="J55" s="506"/>
      <c r="K55" s="506"/>
      <c r="L55" s="506"/>
      <c r="M55" s="506"/>
      <c r="N55" s="506"/>
      <c r="O55" s="506"/>
      <c r="P55" s="506"/>
      <c r="Q55" s="507"/>
      <c r="R55" s="507"/>
      <c r="S55" s="507"/>
      <c r="T55" s="506"/>
      <c r="U55" s="68" t="e">
        <f>VLOOKUP(T55,DescontosTE[[#All],[idsreag supridora]:[codsariSUP]],2,FALSE)</f>
        <v>#N/A</v>
      </c>
      <c r="AA55" s="196"/>
      <c r="AB55" s="1577"/>
    </row>
    <row r="56" spans="1:28" ht="16.5">
      <c r="A56" s="955">
        <f t="shared" si="1"/>
        <v>1</v>
      </c>
      <c r="B56" s="507"/>
      <c r="C56" s="531"/>
      <c r="D56" s="9"/>
      <c r="E56" s="233"/>
      <c r="F56" s="479"/>
      <c r="H56" s="68" t="e">
        <f t="shared" si="2"/>
        <v>#N/A</v>
      </c>
      <c r="I56" s="505"/>
      <c r="J56" s="506"/>
      <c r="K56" s="506"/>
      <c r="L56" s="506"/>
      <c r="M56" s="506"/>
      <c r="N56" s="506"/>
      <c r="O56" s="506"/>
      <c r="P56" s="506"/>
      <c r="Q56" s="507"/>
      <c r="R56" s="507"/>
      <c r="S56" s="507"/>
      <c r="T56" s="506"/>
      <c r="U56" s="68" t="e">
        <f>VLOOKUP(T56,DescontosTE[[#All],[idsreag supridora]:[codsariSUP]],2,FALSE)</f>
        <v>#N/A</v>
      </c>
      <c r="AA56" s="196"/>
      <c r="AB56" s="1577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5"/>
      <c r="J57" s="506"/>
      <c r="K57" s="506"/>
      <c r="L57" s="506"/>
      <c r="M57" s="506"/>
      <c r="N57" s="506"/>
      <c r="O57" s="506"/>
      <c r="P57" s="506"/>
      <c r="Q57" s="507"/>
      <c r="R57" s="507"/>
      <c r="S57" s="507"/>
      <c r="T57" s="506"/>
      <c r="U57" s="68" t="e">
        <f>VLOOKUP(T57,DescontosTE[[#All],[idsreag supridora]:[codsariSUP]],2,FALSE)</f>
        <v>#N/A</v>
      </c>
      <c r="AA57" s="196"/>
      <c r="AB57" s="1577"/>
    </row>
    <row r="58" spans="1:28" ht="16.5">
      <c r="H58" s="68" t="e">
        <f t="shared" si="2"/>
        <v>#N/A</v>
      </c>
      <c r="I58" s="505"/>
      <c r="J58" s="506"/>
      <c r="K58" s="506"/>
      <c r="L58" s="506"/>
      <c r="M58" s="506"/>
      <c r="N58" s="506"/>
      <c r="O58" s="506"/>
      <c r="P58" s="506"/>
      <c r="Q58" s="507"/>
      <c r="R58" s="507"/>
      <c r="S58" s="507"/>
      <c r="T58" s="506"/>
      <c r="U58" s="68" t="e">
        <f>VLOOKUP(T58,DescontosTE[[#All],[idsreag supridora]:[codsariSUP]],2,FALSE)</f>
        <v>#N/A</v>
      </c>
      <c r="AA58" s="196"/>
      <c r="AB58" s="1577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77"/>
    </row>
    <row r="60" spans="1:28">
      <c r="B60" s="951" t="s">
        <v>75</v>
      </c>
      <c r="C60" s="72"/>
      <c r="AA60" s="196"/>
      <c r="AB60" s="1577"/>
    </row>
    <row r="61" spans="1:28" ht="16.5">
      <c r="B61" s="959" t="s">
        <v>697</v>
      </c>
      <c r="C61" s="821">
        <v>0</v>
      </c>
      <c r="D61" s="68">
        <v>0</v>
      </c>
      <c r="AA61" s="196"/>
      <c r="AB61" s="1577"/>
    </row>
    <row r="62" spans="1:28" ht="16.5">
      <c r="B62" s="689" t="s">
        <v>699</v>
      </c>
      <c r="C62" s="531">
        <v>1277.76</v>
      </c>
      <c r="D62" s="69">
        <v>0</v>
      </c>
      <c r="AA62" s="196"/>
      <c r="AB62" s="1577"/>
    </row>
    <row r="63" spans="1:28" ht="16.5">
      <c r="B63" s="689" t="s">
        <v>701</v>
      </c>
      <c r="C63" s="531">
        <v>0</v>
      </c>
      <c r="D63" s="69">
        <v>0</v>
      </c>
      <c r="AA63" s="196"/>
      <c r="AB63" s="1577"/>
    </row>
    <row r="64" spans="1:28" ht="16.5">
      <c r="B64" s="689" t="s">
        <v>702</v>
      </c>
      <c r="C64" s="531">
        <v>8489.2999999999993</v>
      </c>
      <c r="D64" s="69">
        <v>0</v>
      </c>
      <c r="I64" s="68" t="s">
        <v>2178</v>
      </c>
    </row>
    <row r="65" spans="2:16" ht="16.5">
      <c r="B65" s="689" t="s">
        <v>705</v>
      </c>
      <c r="C65" s="531">
        <v>237290.31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60" t="s">
        <v>707</v>
      </c>
      <c r="C66" s="820">
        <v>5004.3100000000004</v>
      </c>
      <c r="D66" s="69">
        <v>0</v>
      </c>
      <c r="I66" s="68" t="s">
        <v>2343</v>
      </c>
      <c r="J66" s="68">
        <v>5697</v>
      </c>
      <c r="K66" s="1575">
        <v>44469</v>
      </c>
      <c r="L66" s="68" t="s">
        <v>2359</v>
      </c>
      <c r="M66" s="68">
        <v>0.54410000000000003</v>
      </c>
    </row>
    <row r="67" spans="2:16">
      <c r="K67" s="1575"/>
    </row>
    <row r="68" spans="2:16">
      <c r="K68" s="1575"/>
    </row>
    <row r="69" spans="2:16">
      <c r="K69" s="1575"/>
    </row>
    <row r="70" spans="2:16">
      <c r="B70" s="901" t="s">
        <v>72</v>
      </c>
      <c r="C70" s="901" t="s">
        <v>37</v>
      </c>
      <c r="D70" s="901" t="s">
        <v>73</v>
      </c>
      <c r="K70" s="1575"/>
    </row>
    <row r="71" spans="2:16">
      <c r="B71" s="848" t="s">
        <v>49</v>
      </c>
      <c r="C71" s="1462"/>
      <c r="D71" s="849"/>
      <c r="K71" s="1575"/>
    </row>
    <row r="72" spans="2:16">
      <c r="B72" s="848" t="s">
        <v>768</v>
      </c>
      <c r="C72" s="1462"/>
      <c r="D72" s="849"/>
      <c r="K72" s="1575"/>
    </row>
    <row r="73" spans="2:16">
      <c r="B73" s="848" t="s">
        <v>2319</v>
      </c>
      <c r="C73" s="1462"/>
      <c r="D73" s="849"/>
      <c r="K73" s="1575"/>
    </row>
    <row r="74" spans="2:16">
      <c r="B74" s="848" t="s">
        <v>2072</v>
      </c>
      <c r="C74" s="1462"/>
      <c r="D74" s="849"/>
      <c r="K74" s="1575"/>
    </row>
    <row r="75" spans="2:16">
      <c r="B75" s="848" t="s">
        <v>2320</v>
      </c>
      <c r="C75" s="1462"/>
      <c r="D75" s="849"/>
      <c r="K75" s="1575"/>
    </row>
    <row r="76" spans="2:16">
      <c r="B76" s="848" t="s">
        <v>2321</v>
      </c>
      <c r="C76" s="1462">
        <v>0</v>
      </c>
      <c r="D76" s="849"/>
    </row>
    <row r="77" spans="2:16">
      <c r="B77" s="848" t="s">
        <v>2322</v>
      </c>
      <c r="C77" s="1462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2343</v>
      </c>
      <c r="J80" s="68">
        <v>5697</v>
      </c>
      <c r="K80" s="1575">
        <v>44469</v>
      </c>
      <c r="L80" s="68" t="s">
        <v>2359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2343</v>
      </c>
      <c r="J81" s="68">
        <v>5697</v>
      </c>
      <c r="K81" s="1575">
        <v>44469</v>
      </c>
      <c r="L81" s="68" t="s">
        <v>2359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2172</v>
      </c>
      <c r="D82" s="901" t="s">
        <v>37</v>
      </c>
      <c r="I82" s="68" t="s">
        <v>2343</v>
      </c>
      <c r="J82" s="68">
        <v>5697</v>
      </c>
      <c r="K82" s="1575">
        <v>44469</v>
      </c>
      <c r="L82" s="68" t="s">
        <v>2359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1438</v>
      </c>
      <c r="C83" s="1462" t="s">
        <v>2344</v>
      </c>
      <c r="D83" s="849">
        <v>140.385851708318</v>
      </c>
      <c r="I83" s="68" t="s">
        <v>2343</v>
      </c>
      <c r="J83" s="68">
        <v>5697</v>
      </c>
      <c r="K83" s="1575">
        <v>44469</v>
      </c>
      <c r="L83" s="68" t="s">
        <v>2359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2345</v>
      </c>
      <c r="C84" s="1462" t="s">
        <v>2346</v>
      </c>
      <c r="D84" s="849">
        <v>0</v>
      </c>
      <c r="K84" s="1575"/>
    </row>
    <row r="85" spans="2:16">
      <c r="B85" s="848" t="s">
        <v>1431</v>
      </c>
      <c r="C85" s="1462" t="s">
        <v>2346</v>
      </c>
      <c r="D85" s="849">
        <v>0</v>
      </c>
      <c r="K85" s="1575"/>
    </row>
    <row r="86" spans="2:16">
      <c r="B86" s="848" t="s">
        <v>1430</v>
      </c>
      <c r="C86" s="1462" t="s">
        <v>2346</v>
      </c>
      <c r="D86" s="849">
        <v>9.1274335705953599E-2</v>
      </c>
      <c r="K86" s="1575"/>
    </row>
    <row r="87" spans="2:16">
      <c r="K87" s="1575"/>
    </row>
    <row r="88" spans="2:16">
      <c r="K88" s="1575"/>
    </row>
    <row r="89" spans="2:16">
      <c r="K89" s="1575"/>
    </row>
    <row r="90" spans="2:16">
      <c r="K90" s="1575"/>
    </row>
    <row r="91" spans="2:16">
      <c r="K91" s="1575"/>
    </row>
    <row r="92" spans="2:16">
      <c r="K92" s="1575"/>
    </row>
    <row r="93" spans="2:16">
      <c r="K93" s="1575"/>
    </row>
    <row r="94" spans="2:16">
      <c r="K94" s="1575"/>
    </row>
    <row r="95" spans="2:16">
      <c r="K95" s="1575"/>
    </row>
    <row r="96" spans="2:16">
      <c r="K96" s="1575"/>
    </row>
    <row r="97" spans="2:11">
      <c r="K97" s="1575"/>
    </row>
    <row r="98" spans="2:11">
      <c r="K98" s="1575"/>
    </row>
    <row r="103" spans="2:11" ht="25.5" customHeight="1">
      <c r="B103" s="68" t="s">
        <v>2188</v>
      </c>
      <c r="C103" s="1578" t="s">
        <v>2190</v>
      </c>
      <c r="D103" s="68" t="s">
        <v>2189</v>
      </c>
    </row>
    <row r="104" spans="2:11">
      <c r="B104" s="69">
        <v>25814070.878469311</v>
      </c>
      <c r="C104" s="196">
        <v>44531</v>
      </c>
      <c r="D104" s="68" t="s">
        <v>2323</v>
      </c>
    </row>
    <row r="108" spans="2:11" ht="28.5">
      <c r="B108" s="1578" t="s">
        <v>2186</v>
      </c>
      <c r="C108" s="1578" t="s">
        <v>2187</v>
      </c>
      <c r="D108" s="1578" t="s">
        <v>213</v>
      </c>
      <c r="E108" s="1578" t="s">
        <v>214</v>
      </c>
      <c r="F108" s="1578" t="s">
        <v>2191</v>
      </c>
      <c r="G108" s="1578" t="s">
        <v>2192</v>
      </c>
      <c r="H108" s="1578" t="s">
        <v>2193</v>
      </c>
    </row>
    <row r="109" spans="2:11">
      <c r="B109" s="1578" t="s">
        <v>155</v>
      </c>
      <c r="C109" s="1578">
        <v>111</v>
      </c>
      <c r="D109" s="1578">
        <v>48.427014093503388</v>
      </c>
      <c r="E109" s="1578">
        <v>180.36</v>
      </c>
      <c r="F109" s="1579">
        <v>10692706.342225492</v>
      </c>
      <c r="G109" s="1580">
        <v>44430</v>
      </c>
      <c r="H109" s="1580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V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2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2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2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2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  <c r="V5">
        <v>0</v>
      </c>
    </row>
    <row r="6" spans="2:22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2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2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2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2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2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2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2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2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2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2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2365</v>
      </c>
      <c r="B2">
        <v>6897</v>
      </c>
      <c r="C2" t="s">
        <v>2364</v>
      </c>
      <c r="D2">
        <v>5697</v>
      </c>
      <c r="E2" t="s">
        <v>2201</v>
      </c>
      <c r="F2" t="s">
        <v>2359</v>
      </c>
      <c r="G2">
        <v>2021</v>
      </c>
      <c r="H2">
        <v>10</v>
      </c>
      <c r="I2" s="8">
        <v>44470</v>
      </c>
      <c r="J2">
        <v>2883</v>
      </c>
      <c r="K2">
        <v>2912</v>
      </c>
      <c r="L2">
        <v>761337</v>
      </c>
      <c r="M2">
        <v>115920</v>
      </c>
      <c r="N2">
        <v>761337</v>
      </c>
      <c r="O2">
        <v>115920</v>
      </c>
      <c r="Q2">
        <v>12.33</v>
      </c>
      <c r="R2">
        <v>23.94</v>
      </c>
      <c r="S2">
        <v>10.17</v>
      </c>
      <c r="T2">
        <v>119.33</v>
      </c>
      <c r="U2">
        <v>7201.22</v>
      </c>
      <c r="V2">
        <v>0</v>
      </c>
      <c r="W2">
        <v>0</v>
      </c>
      <c r="X2">
        <v>269629.39</v>
      </c>
      <c r="AA2" s="232">
        <f>J2*Q2+K2*R2+((L2+M2)/1000)*S2</f>
        <v>114182.37368999999</v>
      </c>
      <c r="AB2" s="232">
        <f>((N2+O2)/1000)*T2</f>
        <v>104683.07780999999</v>
      </c>
    </row>
    <row r="3" spans="1:28">
      <c r="A3" t="s">
        <v>2366</v>
      </c>
      <c r="B3">
        <v>6897</v>
      </c>
      <c r="C3" t="s">
        <v>2364</v>
      </c>
      <c r="D3">
        <v>5697</v>
      </c>
      <c r="E3" t="s">
        <v>2201</v>
      </c>
      <c r="F3" t="s">
        <v>2359</v>
      </c>
      <c r="G3">
        <v>2021</v>
      </c>
      <c r="H3">
        <v>10</v>
      </c>
      <c r="I3" s="8">
        <v>44470</v>
      </c>
      <c r="J3">
        <v>18693</v>
      </c>
      <c r="K3">
        <v>16718</v>
      </c>
      <c r="L3">
        <v>6745149</v>
      </c>
      <c r="M3">
        <v>707163</v>
      </c>
      <c r="N3">
        <v>6703429</v>
      </c>
      <c r="O3">
        <v>692003</v>
      </c>
      <c r="P3">
        <v>159759</v>
      </c>
      <c r="Q3">
        <v>12.33</v>
      </c>
      <c r="R3">
        <v>23.94</v>
      </c>
      <c r="S3">
        <v>10.17</v>
      </c>
      <c r="T3">
        <v>119.33</v>
      </c>
      <c r="U3">
        <v>51078.36</v>
      </c>
      <c r="V3">
        <v>0</v>
      </c>
      <c r="W3">
        <v>0</v>
      </c>
      <c r="X3">
        <v>1949555.85</v>
      </c>
      <c r="AA3" s="232">
        <f t="shared" ref="AA3:AA66" si="0">J3*Q3+K3*R3+((L3+M3)/1000)*S3</f>
        <v>706503.62304000009</v>
      </c>
      <c r="AB3" s="232">
        <f t="shared" ref="AB3:AB66" si="1">((N3+O3)/1000)*T3</f>
        <v>882496.90055999998</v>
      </c>
    </row>
    <row r="4" spans="1:28">
      <c r="A4" t="s">
        <v>2367</v>
      </c>
      <c r="B4">
        <v>6897</v>
      </c>
      <c r="C4" t="s">
        <v>2364</v>
      </c>
      <c r="D4">
        <v>5697</v>
      </c>
      <c r="E4" t="s">
        <v>2201</v>
      </c>
      <c r="F4" t="s">
        <v>2359</v>
      </c>
      <c r="G4">
        <v>2021</v>
      </c>
      <c r="H4">
        <v>11</v>
      </c>
      <c r="I4" s="8">
        <v>44501</v>
      </c>
      <c r="J4">
        <v>2627</v>
      </c>
      <c r="K4">
        <v>2727</v>
      </c>
      <c r="L4">
        <v>727264</v>
      </c>
      <c r="M4">
        <v>111517</v>
      </c>
      <c r="N4">
        <v>727264</v>
      </c>
      <c r="O4">
        <v>111517</v>
      </c>
      <c r="Q4">
        <v>11.83</v>
      </c>
      <c r="R4">
        <v>21.22</v>
      </c>
      <c r="S4">
        <v>14.37</v>
      </c>
      <c r="T4">
        <v>142.83000000000001</v>
      </c>
      <c r="U4">
        <v>9235.16</v>
      </c>
      <c r="V4">
        <v>0</v>
      </c>
      <c r="W4">
        <v>0</v>
      </c>
      <c r="X4">
        <v>258842.06</v>
      </c>
      <c r="AA4" s="232">
        <f t="shared" si="0"/>
        <v>100997.63296999999</v>
      </c>
      <c r="AB4" s="232">
        <f t="shared" si="1"/>
        <v>119803.09023</v>
      </c>
    </row>
    <row r="5" spans="1:28">
      <c r="A5" t="s">
        <v>2368</v>
      </c>
      <c r="B5">
        <v>6897</v>
      </c>
      <c r="C5" t="s">
        <v>2364</v>
      </c>
      <c r="D5">
        <v>5697</v>
      </c>
      <c r="E5" t="s">
        <v>2201</v>
      </c>
      <c r="F5" t="s">
        <v>2359</v>
      </c>
      <c r="G5">
        <v>2021</v>
      </c>
      <c r="H5">
        <v>11</v>
      </c>
      <c r="I5" s="8">
        <v>44501</v>
      </c>
      <c r="J5">
        <v>16222</v>
      </c>
      <c r="K5">
        <v>14446</v>
      </c>
      <c r="L5">
        <v>6239326</v>
      </c>
      <c r="M5">
        <v>653091</v>
      </c>
      <c r="N5">
        <v>6406315</v>
      </c>
      <c r="O5">
        <v>636973</v>
      </c>
      <c r="P5">
        <v>170105</v>
      </c>
      <c r="Q5">
        <v>11.83</v>
      </c>
      <c r="R5">
        <v>21.22</v>
      </c>
      <c r="S5">
        <v>14.37</v>
      </c>
      <c r="T5">
        <v>142.83000000000001</v>
      </c>
      <c r="U5">
        <v>63558.01</v>
      </c>
      <c r="V5">
        <v>0</v>
      </c>
      <c r="W5">
        <v>0</v>
      </c>
      <c r="X5">
        <v>1790366.86</v>
      </c>
      <c r="AA5" s="232">
        <f t="shared" si="0"/>
        <v>597494.41229000001</v>
      </c>
      <c r="AB5" s="232">
        <f t="shared" si="1"/>
        <v>1005992.82504</v>
      </c>
    </row>
    <row r="6" spans="1:28">
      <c r="A6" t="s">
        <v>2369</v>
      </c>
      <c r="B6">
        <v>6897</v>
      </c>
      <c r="C6" t="s">
        <v>2364</v>
      </c>
      <c r="D6">
        <v>5697</v>
      </c>
      <c r="E6" t="s">
        <v>2201</v>
      </c>
      <c r="F6" t="s">
        <v>2359</v>
      </c>
      <c r="G6">
        <v>2021</v>
      </c>
      <c r="H6">
        <v>12</v>
      </c>
      <c r="I6" s="8">
        <v>44531</v>
      </c>
      <c r="J6">
        <v>18278</v>
      </c>
      <c r="K6">
        <v>15409</v>
      </c>
      <c r="L6">
        <v>6763441</v>
      </c>
      <c r="M6">
        <v>693118</v>
      </c>
      <c r="N6">
        <v>6661429</v>
      </c>
      <c r="O6">
        <v>677332</v>
      </c>
      <c r="P6">
        <v>169829</v>
      </c>
      <c r="Q6">
        <v>11.83</v>
      </c>
      <c r="R6">
        <v>21.22</v>
      </c>
      <c r="S6">
        <v>14.37</v>
      </c>
      <c r="T6">
        <v>142.83000000000001</v>
      </c>
      <c r="U6">
        <v>74264.78</v>
      </c>
      <c r="V6">
        <v>0</v>
      </c>
      <c r="W6">
        <v>0</v>
      </c>
      <c r="X6">
        <v>1985689.05</v>
      </c>
      <c r="AA6" s="232">
        <f t="shared" si="0"/>
        <v>650358.47282999998</v>
      </c>
      <c r="AB6" s="232">
        <f t="shared" si="1"/>
        <v>1048195.2336300001</v>
      </c>
    </row>
    <row r="7" spans="1:28">
      <c r="A7" t="s">
        <v>2370</v>
      </c>
      <c r="B7">
        <v>6897</v>
      </c>
      <c r="C7" t="s">
        <v>2364</v>
      </c>
      <c r="D7">
        <v>5697</v>
      </c>
      <c r="E7" t="s">
        <v>2201</v>
      </c>
      <c r="F7" t="s">
        <v>2359</v>
      </c>
      <c r="G7">
        <v>2021</v>
      </c>
      <c r="H7">
        <v>12</v>
      </c>
      <c r="I7" s="8">
        <v>44531</v>
      </c>
      <c r="J7">
        <v>3096</v>
      </c>
      <c r="K7">
        <v>2854</v>
      </c>
      <c r="L7">
        <v>763652</v>
      </c>
      <c r="M7">
        <v>108838</v>
      </c>
      <c r="N7">
        <v>763652</v>
      </c>
      <c r="O7">
        <v>108838</v>
      </c>
      <c r="Q7">
        <v>11.83</v>
      </c>
      <c r="R7">
        <v>21.22</v>
      </c>
      <c r="S7">
        <v>14.37</v>
      </c>
      <c r="T7">
        <v>142.83000000000001</v>
      </c>
      <c r="U7">
        <v>9489.2000000000007</v>
      </c>
      <c r="V7">
        <v>0</v>
      </c>
      <c r="W7">
        <v>0</v>
      </c>
      <c r="X7">
        <v>253721.45</v>
      </c>
      <c r="AA7" s="232">
        <f t="shared" si="0"/>
        <v>109725.24129999999</v>
      </c>
      <c r="AB7" s="232">
        <f t="shared" si="1"/>
        <v>124617.74670000002</v>
      </c>
    </row>
    <row r="8" spans="1:28">
      <c r="A8" t="s">
        <v>2371</v>
      </c>
      <c r="B8">
        <v>6897</v>
      </c>
      <c r="C8" t="s">
        <v>2364</v>
      </c>
      <c r="D8">
        <v>5697</v>
      </c>
      <c r="E8" t="s">
        <v>2201</v>
      </c>
      <c r="F8" t="s">
        <v>2359</v>
      </c>
      <c r="G8">
        <v>2022</v>
      </c>
      <c r="H8">
        <v>1</v>
      </c>
      <c r="I8" s="8">
        <v>44562</v>
      </c>
      <c r="J8">
        <v>2958</v>
      </c>
      <c r="K8">
        <v>2920</v>
      </c>
      <c r="L8">
        <v>899231</v>
      </c>
      <c r="M8">
        <v>153535</v>
      </c>
      <c r="N8">
        <v>899231</v>
      </c>
      <c r="O8">
        <v>153535</v>
      </c>
      <c r="Q8">
        <v>11.83</v>
      </c>
      <c r="R8">
        <v>21.22</v>
      </c>
      <c r="S8">
        <v>14.37</v>
      </c>
      <c r="T8">
        <v>142.83000000000001</v>
      </c>
      <c r="U8">
        <v>10399.64</v>
      </c>
      <c r="V8">
        <v>0</v>
      </c>
      <c r="W8">
        <v>0</v>
      </c>
      <c r="X8">
        <v>274815.14</v>
      </c>
      <c r="AA8" s="232">
        <f t="shared" si="0"/>
        <v>112083.78741999999</v>
      </c>
      <c r="AB8" s="232">
        <f t="shared" si="1"/>
        <v>150366.56778000001</v>
      </c>
    </row>
    <row r="9" spans="1:28">
      <c r="A9" t="s">
        <v>2372</v>
      </c>
      <c r="B9">
        <v>6897</v>
      </c>
      <c r="C9" t="s">
        <v>2364</v>
      </c>
      <c r="D9">
        <v>5697</v>
      </c>
      <c r="E9" t="s">
        <v>2201</v>
      </c>
      <c r="F9" t="s">
        <v>2359</v>
      </c>
      <c r="G9">
        <v>2022</v>
      </c>
      <c r="H9">
        <v>1</v>
      </c>
      <c r="I9" s="8">
        <v>44562</v>
      </c>
      <c r="J9">
        <v>17842</v>
      </c>
      <c r="K9">
        <v>16057</v>
      </c>
      <c r="L9">
        <v>7176428</v>
      </c>
      <c r="M9">
        <v>881430</v>
      </c>
      <c r="N9">
        <v>7041633</v>
      </c>
      <c r="O9">
        <v>864490</v>
      </c>
      <c r="P9">
        <v>154859</v>
      </c>
      <c r="Q9">
        <v>11.83</v>
      </c>
      <c r="R9">
        <v>21.22</v>
      </c>
      <c r="S9">
        <v>14.37</v>
      </c>
      <c r="T9">
        <v>142.83000000000001</v>
      </c>
      <c r="U9">
        <v>78750.12</v>
      </c>
      <c r="V9">
        <v>0</v>
      </c>
      <c r="W9">
        <v>0</v>
      </c>
      <c r="X9">
        <v>2105618.06</v>
      </c>
      <c r="AA9" s="232">
        <f t="shared" si="0"/>
        <v>667591.81946000003</v>
      </c>
      <c r="AB9" s="232">
        <f t="shared" si="1"/>
        <v>1129231.5480899999</v>
      </c>
    </row>
    <row r="10" spans="1:28">
      <c r="A10" t="s">
        <v>2373</v>
      </c>
      <c r="B10">
        <v>6897</v>
      </c>
      <c r="C10" t="s">
        <v>2364</v>
      </c>
      <c r="D10">
        <v>5697</v>
      </c>
      <c r="E10" t="s">
        <v>2201</v>
      </c>
      <c r="F10" t="s">
        <v>2359</v>
      </c>
      <c r="G10">
        <v>2022</v>
      </c>
      <c r="H10">
        <v>2</v>
      </c>
      <c r="I10" s="8">
        <v>44593</v>
      </c>
      <c r="J10">
        <v>16308</v>
      </c>
      <c r="K10">
        <v>14377</v>
      </c>
      <c r="L10">
        <v>6410169</v>
      </c>
      <c r="M10">
        <v>664966</v>
      </c>
      <c r="N10">
        <v>6296272</v>
      </c>
      <c r="O10">
        <v>652968</v>
      </c>
      <c r="P10">
        <v>127657</v>
      </c>
      <c r="Q10">
        <v>11.83</v>
      </c>
      <c r="R10">
        <v>21.22</v>
      </c>
      <c r="S10">
        <v>14.37</v>
      </c>
      <c r="T10">
        <v>142.83000000000001</v>
      </c>
      <c r="U10">
        <v>85130.47</v>
      </c>
      <c r="V10">
        <v>0</v>
      </c>
      <c r="W10">
        <v>0</v>
      </c>
      <c r="X10">
        <v>1799798.27</v>
      </c>
      <c r="AA10" s="232">
        <f t="shared" si="0"/>
        <v>599673.26994999999</v>
      </c>
      <c r="AB10" s="232">
        <f t="shared" si="1"/>
        <v>992559.94920000003</v>
      </c>
    </row>
    <row r="11" spans="1:28">
      <c r="A11" t="s">
        <v>2374</v>
      </c>
      <c r="B11">
        <v>6897</v>
      </c>
      <c r="C11" t="s">
        <v>2364</v>
      </c>
      <c r="D11">
        <v>5697</v>
      </c>
      <c r="E11" t="s">
        <v>2201</v>
      </c>
      <c r="F11" t="s">
        <v>2359</v>
      </c>
      <c r="G11">
        <v>2022</v>
      </c>
      <c r="H11">
        <v>2</v>
      </c>
      <c r="I11" s="8">
        <v>44593</v>
      </c>
      <c r="J11">
        <v>3162</v>
      </c>
      <c r="K11">
        <v>3162</v>
      </c>
      <c r="L11">
        <v>979949</v>
      </c>
      <c r="M11">
        <v>145434</v>
      </c>
      <c r="N11">
        <v>979949</v>
      </c>
      <c r="O11">
        <v>145434</v>
      </c>
      <c r="Q11">
        <v>11.83</v>
      </c>
      <c r="R11">
        <v>21.22</v>
      </c>
      <c r="S11">
        <v>14.37</v>
      </c>
      <c r="T11">
        <v>142.83000000000001</v>
      </c>
      <c r="U11">
        <v>14760.59</v>
      </c>
      <c r="V11">
        <v>0</v>
      </c>
      <c r="W11">
        <v>-21236.880000000001</v>
      </c>
      <c r="X11">
        <v>290826.36</v>
      </c>
      <c r="AA11" s="232">
        <f t="shared" si="0"/>
        <v>120675.85371000001</v>
      </c>
      <c r="AB11" s="232">
        <f t="shared" si="1"/>
        <v>160738.45389000003</v>
      </c>
    </row>
    <row r="12" spans="1:28">
      <c r="A12" t="s">
        <v>2375</v>
      </c>
      <c r="B12">
        <v>6897</v>
      </c>
      <c r="C12" t="s">
        <v>2364</v>
      </c>
      <c r="D12">
        <v>5697</v>
      </c>
      <c r="E12" t="s">
        <v>2201</v>
      </c>
      <c r="F12" t="s">
        <v>2359</v>
      </c>
      <c r="G12">
        <v>2022</v>
      </c>
      <c r="H12">
        <v>3</v>
      </c>
      <c r="I12" s="8">
        <v>44621</v>
      </c>
      <c r="J12">
        <v>15733</v>
      </c>
      <c r="K12">
        <v>13409</v>
      </c>
      <c r="L12">
        <v>5478590</v>
      </c>
      <c r="M12">
        <v>611910</v>
      </c>
      <c r="N12">
        <v>5379091</v>
      </c>
      <c r="O12">
        <v>600423</v>
      </c>
      <c r="P12">
        <v>114332</v>
      </c>
      <c r="Q12">
        <v>11.83</v>
      </c>
      <c r="R12">
        <v>21.22</v>
      </c>
      <c r="S12">
        <v>14.37</v>
      </c>
      <c r="T12">
        <v>142.83000000000001</v>
      </c>
      <c r="U12">
        <v>41579.39</v>
      </c>
      <c r="V12">
        <v>0</v>
      </c>
      <c r="W12">
        <v>0</v>
      </c>
      <c r="X12">
        <v>1453825.34</v>
      </c>
      <c r="AA12" s="232">
        <f t="shared" si="0"/>
        <v>558180.85499999998</v>
      </c>
      <c r="AB12" s="232">
        <f t="shared" si="1"/>
        <v>854053.98462000012</v>
      </c>
    </row>
    <row r="13" spans="1:28">
      <c r="A13" t="s">
        <v>2376</v>
      </c>
      <c r="B13">
        <v>6897</v>
      </c>
      <c r="C13" t="s">
        <v>2364</v>
      </c>
      <c r="D13">
        <v>5697</v>
      </c>
      <c r="E13" t="s">
        <v>2201</v>
      </c>
      <c r="F13" t="s">
        <v>2359</v>
      </c>
      <c r="G13">
        <v>2022</v>
      </c>
      <c r="H13">
        <v>3</v>
      </c>
      <c r="I13" s="8">
        <v>44621</v>
      </c>
      <c r="J13">
        <v>4303</v>
      </c>
      <c r="K13">
        <v>3450</v>
      </c>
      <c r="L13">
        <v>1251396</v>
      </c>
      <c r="M13">
        <v>149222</v>
      </c>
      <c r="N13">
        <v>1251396</v>
      </c>
      <c r="O13">
        <v>149222</v>
      </c>
      <c r="Q13">
        <v>11.83</v>
      </c>
      <c r="R13">
        <v>21.22</v>
      </c>
      <c r="S13">
        <v>14.37</v>
      </c>
      <c r="T13">
        <v>142.83000000000001</v>
      </c>
      <c r="U13">
        <v>10574.32</v>
      </c>
      <c r="V13">
        <v>0</v>
      </c>
      <c r="W13">
        <v>0</v>
      </c>
      <c r="X13">
        <v>369730.9</v>
      </c>
      <c r="AA13" s="232">
        <f t="shared" si="0"/>
        <v>144240.37065999999</v>
      </c>
      <c r="AB13" s="232">
        <f t="shared" si="1"/>
        <v>200050.26894000001</v>
      </c>
    </row>
    <row r="14" spans="1:28">
      <c r="A14" t="s">
        <v>2377</v>
      </c>
      <c r="B14">
        <v>6897</v>
      </c>
      <c r="C14" t="s">
        <v>2364</v>
      </c>
      <c r="D14">
        <v>5697</v>
      </c>
      <c r="E14" t="s">
        <v>2201</v>
      </c>
      <c r="F14" t="s">
        <v>2359</v>
      </c>
      <c r="G14">
        <v>2022</v>
      </c>
      <c r="H14">
        <v>3</v>
      </c>
      <c r="I14" s="8">
        <v>44621</v>
      </c>
      <c r="J14">
        <v>2800</v>
      </c>
      <c r="K14">
        <v>2990</v>
      </c>
      <c r="L14">
        <v>729394</v>
      </c>
      <c r="M14">
        <v>127629</v>
      </c>
      <c r="N14">
        <v>729394</v>
      </c>
      <c r="O14">
        <v>127629</v>
      </c>
      <c r="Q14">
        <v>11.83</v>
      </c>
      <c r="R14">
        <v>21.22</v>
      </c>
      <c r="S14">
        <v>14.37</v>
      </c>
      <c r="T14">
        <v>142.83000000000001</v>
      </c>
      <c r="U14">
        <v>6809.82</v>
      </c>
      <c r="V14">
        <v>0</v>
      </c>
      <c r="W14">
        <v>0</v>
      </c>
      <c r="X14">
        <v>238105.62</v>
      </c>
      <c r="AA14" s="232">
        <f t="shared" si="0"/>
        <v>108887.22050999998</v>
      </c>
      <c r="AB14" s="232">
        <f t="shared" si="1"/>
        <v>122408.59509000002</v>
      </c>
    </row>
    <row r="15" spans="1:28">
      <c r="A15" t="s">
        <v>2378</v>
      </c>
      <c r="B15">
        <v>6897</v>
      </c>
      <c r="C15" t="s">
        <v>2364</v>
      </c>
      <c r="D15">
        <v>5697</v>
      </c>
      <c r="E15" t="s">
        <v>2201</v>
      </c>
      <c r="F15" t="s">
        <v>2359</v>
      </c>
      <c r="G15">
        <v>2022</v>
      </c>
      <c r="H15">
        <v>2</v>
      </c>
      <c r="I15" s="8">
        <v>44593</v>
      </c>
      <c r="J15">
        <v>3424</v>
      </c>
      <c r="K15">
        <v>2909</v>
      </c>
      <c r="L15">
        <v>1363205</v>
      </c>
      <c r="M15">
        <v>156505</v>
      </c>
      <c r="N15">
        <v>1363205</v>
      </c>
      <c r="O15">
        <v>156505</v>
      </c>
      <c r="Q15">
        <v>11.83</v>
      </c>
      <c r="R15">
        <v>21.22</v>
      </c>
      <c r="S15">
        <v>14.37</v>
      </c>
      <c r="T15">
        <v>142.83000000000001</v>
      </c>
      <c r="U15">
        <v>17476.25</v>
      </c>
      <c r="V15">
        <v>0</v>
      </c>
      <c r="W15">
        <v>0</v>
      </c>
      <c r="X15">
        <v>369476.64</v>
      </c>
      <c r="AA15" s="232">
        <f t="shared" si="0"/>
        <v>124073.13269999999</v>
      </c>
      <c r="AB15" s="232">
        <f t="shared" si="1"/>
        <v>217060.17930000002</v>
      </c>
    </row>
    <row r="16" spans="1:28">
      <c r="A16" t="s">
        <v>2379</v>
      </c>
      <c r="B16">
        <v>6897</v>
      </c>
      <c r="C16" t="s">
        <v>2364</v>
      </c>
      <c r="D16">
        <v>5697</v>
      </c>
      <c r="E16" t="s">
        <v>2201</v>
      </c>
      <c r="F16" t="s">
        <v>2359</v>
      </c>
      <c r="G16">
        <v>2022</v>
      </c>
      <c r="H16">
        <v>4</v>
      </c>
      <c r="I16" s="8">
        <v>44652</v>
      </c>
      <c r="J16">
        <v>2808</v>
      </c>
      <c r="K16">
        <v>2990</v>
      </c>
      <c r="L16">
        <v>761224</v>
      </c>
      <c r="M16">
        <v>126601</v>
      </c>
      <c r="N16">
        <v>761224</v>
      </c>
      <c r="O16">
        <v>126601</v>
      </c>
      <c r="Q16">
        <v>11.83</v>
      </c>
      <c r="R16">
        <v>21.22</v>
      </c>
      <c r="S16">
        <v>14.37</v>
      </c>
      <c r="T16">
        <v>142.83000000000001</v>
      </c>
      <c r="U16">
        <v>8011.19</v>
      </c>
      <c r="V16">
        <v>0</v>
      </c>
      <c r="W16">
        <v>0</v>
      </c>
      <c r="X16">
        <v>244243.7</v>
      </c>
      <c r="AA16" s="232">
        <f t="shared" si="0"/>
        <v>109424.48525</v>
      </c>
      <c r="AB16" s="232">
        <f t="shared" si="1"/>
        <v>126808.04475000002</v>
      </c>
    </row>
    <row r="17" spans="1:28">
      <c r="A17" t="s">
        <v>2380</v>
      </c>
      <c r="B17">
        <v>6897</v>
      </c>
      <c r="C17" t="s">
        <v>2364</v>
      </c>
      <c r="D17">
        <v>5697</v>
      </c>
      <c r="E17" t="s">
        <v>2201</v>
      </c>
      <c r="F17" t="s">
        <v>2359</v>
      </c>
      <c r="G17">
        <v>2022</v>
      </c>
      <c r="H17">
        <v>4</v>
      </c>
      <c r="I17" s="8">
        <v>44652</v>
      </c>
      <c r="J17">
        <v>4556</v>
      </c>
      <c r="K17">
        <v>3583</v>
      </c>
      <c r="L17">
        <v>1636056</v>
      </c>
      <c r="M17">
        <v>174188</v>
      </c>
      <c r="N17">
        <v>1636056</v>
      </c>
      <c r="O17">
        <v>174188</v>
      </c>
      <c r="Q17">
        <v>11.83</v>
      </c>
      <c r="R17">
        <v>21.22</v>
      </c>
      <c r="S17">
        <v>14.37</v>
      </c>
      <c r="T17">
        <v>142.83000000000001</v>
      </c>
      <c r="U17">
        <v>15197.46</v>
      </c>
      <c r="V17">
        <v>0</v>
      </c>
      <c r="W17">
        <v>0</v>
      </c>
      <c r="X17">
        <v>463337.85</v>
      </c>
      <c r="AA17" s="232">
        <f t="shared" si="0"/>
        <v>155941.94627999997</v>
      </c>
      <c r="AB17" s="232">
        <f t="shared" si="1"/>
        <v>258557.15052000002</v>
      </c>
    </row>
    <row r="18" spans="1:28">
      <c r="A18" t="s">
        <v>2381</v>
      </c>
      <c r="B18">
        <v>6897</v>
      </c>
      <c r="C18" t="s">
        <v>2364</v>
      </c>
      <c r="D18">
        <v>5697</v>
      </c>
      <c r="E18" t="s">
        <v>2201</v>
      </c>
      <c r="F18" t="s">
        <v>2359</v>
      </c>
      <c r="G18">
        <v>2022</v>
      </c>
      <c r="H18">
        <v>4</v>
      </c>
      <c r="I18" s="8">
        <v>44652</v>
      </c>
      <c r="J18">
        <v>14500</v>
      </c>
      <c r="K18">
        <v>12500</v>
      </c>
      <c r="L18">
        <v>5441600</v>
      </c>
      <c r="M18">
        <v>571820</v>
      </c>
      <c r="N18">
        <v>5440892</v>
      </c>
      <c r="O18">
        <v>560070</v>
      </c>
      <c r="P18">
        <v>123569</v>
      </c>
      <c r="Q18">
        <v>11.83</v>
      </c>
      <c r="R18">
        <v>21.22</v>
      </c>
      <c r="S18">
        <v>14.37</v>
      </c>
      <c r="T18">
        <v>142.83000000000001</v>
      </c>
      <c r="U18">
        <v>46809.68</v>
      </c>
      <c r="V18">
        <v>0</v>
      </c>
      <c r="W18">
        <v>0</v>
      </c>
      <c r="X18">
        <v>1427124.91</v>
      </c>
      <c r="AA18" s="232">
        <f t="shared" si="0"/>
        <v>523197.84539999999</v>
      </c>
      <c r="AB18" s="232">
        <f t="shared" si="1"/>
        <v>857117.40246000013</v>
      </c>
    </row>
    <row r="19" spans="1:28">
      <c r="A19" t="s">
        <v>2382</v>
      </c>
      <c r="B19">
        <v>6897</v>
      </c>
      <c r="C19" t="s">
        <v>2364</v>
      </c>
      <c r="D19">
        <v>5697</v>
      </c>
      <c r="E19" t="s">
        <v>2201</v>
      </c>
      <c r="F19" t="s">
        <v>2359</v>
      </c>
      <c r="G19">
        <v>2022</v>
      </c>
      <c r="H19">
        <v>5</v>
      </c>
      <c r="I19" s="8">
        <v>44682</v>
      </c>
      <c r="J19">
        <v>2800</v>
      </c>
      <c r="K19">
        <v>2990</v>
      </c>
      <c r="L19">
        <v>665129</v>
      </c>
      <c r="M19">
        <v>97941</v>
      </c>
      <c r="N19">
        <v>665129</v>
      </c>
      <c r="O19">
        <v>97941</v>
      </c>
      <c r="Q19">
        <v>11.83</v>
      </c>
      <c r="R19">
        <v>21.22</v>
      </c>
      <c r="S19">
        <v>14.37</v>
      </c>
      <c r="T19">
        <v>142.83000000000001</v>
      </c>
      <c r="U19">
        <v>4734.99</v>
      </c>
      <c r="V19">
        <v>0</v>
      </c>
      <c r="W19">
        <v>0</v>
      </c>
      <c r="X19">
        <v>221261.38</v>
      </c>
      <c r="AA19" s="232">
        <f t="shared" si="0"/>
        <v>107537.11589999999</v>
      </c>
      <c r="AB19" s="232">
        <f t="shared" si="1"/>
        <v>108989.28810000002</v>
      </c>
    </row>
    <row r="20" spans="1:28">
      <c r="A20" t="s">
        <v>2383</v>
      </c>
      <c r="B20">
        <v>6897</v>
      </c>
      <c r="C20" t="s">
        <v>2364</v>
      </c>
      <c r="D20">
        <v>5697</v>
      </c>
      <c r="E20" t="s">
        <v>2201</v>
      </c>
      <c r="F20" t="s">
        <v>2359</v>
      </c>
      <c r="G20">
        <v>2022</v>
      </c>
      <c r="H20">
        <v>5</v>
      </c>
      <c r="I20" s="8">
        <v>44682</v>
      </c>
      <c r="J20">
        <v>3946</v>
      </c>
      <c r="K20">
        <v>3586</v>
      </c>
      <c r="L20">
        <v>1412529</v>
      </c>
      <c r="M20">
        <v>136565</v>
      </c>
      <c r="N20">
        <v>1412529</v>
      </c>
      <c r="O20">
        <v>136565</v>
      </c>
      <c r="Q20">
        <v>11.83</v>
      </c>
      <c r="R20">
        <v>21.22</v>
      </c>
      <c r="S20">
        <v>14.37</v>
      </c>
      <c r="T20">
        <v>142.83000000000001</v>
      </c>
      <c r="U20">
        <v>8474.56</v>
      </c>
      <c r="V20">
        <v>0</v>
      </c>
      <c r="W20">
        <v>0</v>
      </c>
      <c r="X20">
        <v>396007.4</v>
      </c>
      <c r="AA20" s="232">
        <f t="shared" si="0"/>
        <v>145036.58078000002</v>
      </c>
      <c r="AB20" s="232">
        <f t="shared" si="1"/>
        <v>221257.09602000003</v>
      </c>
    </row>
    <row r="21" spans="1:28">
      <c r="A21" t="s">
        <v>2384</v>
      </c>
      <c r="B21">
        <v>6897</v>
      </c>
      <c r="C21" t="s">
        <v>2364</v>
      </c>
      <c r="D21">
        <v>5697</v>
      </c>
      <c r="E21" t="s">
        <v>2201</v>
      </c>
      <c r="F21" t="s">
        <v>2359</v>
      </c>
      <c r="G21">
        <v>2022</v>
      </c>
      <c r="H21">
        <v>5</v>
      </c>
      <c r="I21" s="8">
        <v>44682</v>
      </c>
      <c r="J21">
        <v>14500</v>
      </c>
      <c r="K21">
        <v>12500</v>
      </c>
      <c r="L21">
        <v>4578329</v>
      </c>
      <c r="M21">
        <v>442538</v>
      </c>
      <c r="N21">
        <v>4805325</v>
      </c>
      <c r="O21">
        <v>432059</v>
      </c>
      <c r="P21">
        <v>118895</v>
      </c>
      <c r="Q21">
        <v>11.83</v>
      </c>
      <c r="R21">
        <v>21.22</v>
      </c>
      <c r="S21">
        <v>14.37</v>
      </c>
      <c r="T21">
        <v>142.83000000000001</v>
      </c>
      <c r="U21">
        <v>27487.83</v>
      </c>
      <c r="V21">
        <v>0</v>
      </c>
      <c r="W21">
        <v>0</v>
      </c>
      <c r="X21">
        <v>1284478.22</v>
      </c>
      <c r="AA21" s="232">
        <f t="shared" si="0"/>
        <v>508934.85878999997</v>
      </c>
      <c r="AB21" s="232">
        <f t="shared" si="1"/>
        <v>748055.55672000011</v>
      </c>
    </row>
    <row r="22" spans="1:28">
      <c r="A22" t="s">
        <v>2385</v>
      </c>
      <c r="B22">
        <v>6897</v>
      </c>
      <c r="C22" t="s">
        <v>2364</v>
      </c>
      <c r="D22">
        <v>5697</v>
      </c>
      <c r="E22" t="s">
        <v>2201</v>
      </c>
      <c r="F22" t="s">
        <v>2359</v>
      </c>
      <c r="G22">
        <v>2022</v>
      </c>
      <c r="H22">
        <v>6</v>
      </c>
      <c r="I22" s="8">
        <v>44713</v>
      </c>
      <c r="J22">
        <v>2800</v>
      </c>
      <c r="K22">
        <v>2990</v>
      </c>
      <c r="L22">
        <v>670474</v>
      </c>
      <c r="M22">
        <v>98986</v>
      </c>
      <c r="N22">
        <v>670474</v>
      </c>
      <c r="O22">
        <v>98986</v>
      </c>
      <c r="Q22">
        <v>11.83</v>
      </c>
      <c r="R22">
        <v>21.22</v>
      </c>
      <c r="S22">
        <v>14.37</v>
      </c>
      <c r="T22">
        <v>142.83000000000001</v>
      </c>
      <c r="U22">
        <v>7075.09</v>
      </c>
      <c r="V22">
        <v>0</v>
      </c>
      <c r="W22">
        <v>0</v>
      </c>
      <c r="X22">
        <v>203543.03</v>
      </c>
      <c r="AA22" s="232">
        <f t="shared" si="0"/>
        <v>107628.94019999998</v>
      </c>
      <c r="AB22" s="232">
        <f t="shared" si="1"/>
        <v>109901.97180000001</v>
      </c>
    </row>
    <row r="23" spans="1:28">
      <c r="A23" t="s">
        <v>2386</v>
      </c>
      <c r="B23">
        <v>6897</v>
      </c>
      <c r="C23" t="s">
        <v>2364</v>
      </c>
      <c r="D23">
        <v>5697</v>
      </c>
      <c r="E23" t="s">
        <v>2201</v>
      </c>
      <c r="F23" t="s">
        <v>2359</v>
      </c>
      <c r="G23">
        <v>2022</v>
      </c>
      <c r="H23">
        <v>6</v>
      </c>
      <c r="I23" s="8">
        <v>44713</v>
      </c>
      <c r="J23">
        <v>4170</v>
      </c>
      <c r="K23">
        <v>3525</v>
      </c>
      <c r="L23">
        <v>1501725</v>
      </c>
      <c r="M23">
        <v>162784</v>
      </c>
      <c r="N23">
        <v>1501725</v>
      </c>
      <c r="O23">
        <v>162784</v>
      </c>
      <c r="Q23">
        <v>11.83</v>
      </c>
      <c r="R23">
        <v>21.22</v>
      </c>
      <c r="S23">
        <v>14.37</v>
      </c>
      <c r="T23">
        <v>142.83000000000001</v>
      </c>
      <c r="U23">
        <v>13134.71</v>
      </c>
      <c r="V23">
        <v>0</v>
      </c>
      <c r="W23">
        <v>0</v>
      </c>
      <c r="X23">
        <v>416974.56</v>
      </c>
      <c r="AA23" s="232">
        <f t="shared" si="0"/>
        <v>148050.59432999999</v>
      </c>
      <c r="AB23" s="232">
        <f t="shared" si="1"/>
        <v>237741.82047000004</v>
      </c>
    </row>
    <row r="24" spans="1:28">
      <c r="A24" t="s">
        <v>2387</v>
      </c>
      <c r="B24">
        <v>6897</v>
      </c>
      <c r="C24" t="s">
        <v>2364</v>
      </c>
      <c r="D24">
        <v>5697</v>
      </c>
      <c r="E24" t="s">
        <v>2201</v>
      </c>
      <c r="F24" t="s">
        <v>2359</v>
      </c>
      <c r="G24">
        <v>2022</v>
      </c>
      <c r="H24">
        <v>6</v>
      </c>
      <c r="I24" s="8">
        <v>44713</v>
      </c>
      <c r="J24">
        <v>14500</v>
      </c>
      <c r="K24">
        <v>12500</v>
      </c>
      <c r="L24">
        <v>4928777</v>
      </c>
      <c r="M24">
        <v>541007</v>
      </c>
      <c r="N24">
        <v>5114360</v>
      </c>
      <c r="O24">
        <v>527667</v>
      </c>
      <c r="P24">
        <v>134868</v>
      </c>
      <c r="Q24">
        <v>11.83</v>
      </c>
      <c r="R24">
        <v>21.22</v>
      </c>
      <c r="S24">
        <v>14.37</v>
      </c>
      <c r="T24">
        <v>142.83000000000001</v>
      </c>
      <c r="U24">
        <v>42972.58</v>
      </c>
      <c r="V24">
        <v>0</v>
      </c>
      <c r="W24">
        <v>0</v>
      </c>
      <c r="X24">
        <v>1364209.07</v>
      </c>
      <c r="AA24" s="232">
        <f t="shared" si="0"/>
        <v>515385.79608</v>
      </c>
      <c r="AB24" s="232">
        <f t="shared" si="1"/>
        <v>805850.71641000011</v>
      </c>
    </row>
    <row r="25" spans="1:28">
      <c r="A25" t="s">
        <v>2388</v>
      </c>
      <c r="B25">
        <v>6897</v>
      </c>
      <c r="C25" t="s">
        <v>2364</v>
      </c>
      <c r="D25">
        <v>5697</v>
      </c>
      <c r="E25" t="s">
        <v>2201</v>
      </c>
      <c r="F25" t="s">
        <v>2359</v>
      </c>
      <c r="G25">
        <v>2022</v>
      </c>
      <c r="H25">
        <v>7</v>
      </c>
      <c r="I25" s="8">
        <v>44743</v>
      </c>
      <c r="J25">
        <v>2800</v>
      </c>
      <c r="K25">
        <v>2990</v>
      </c>
      <c r="L25">
        <v>704668</v>
      </c>
      <c r="M25">
        <v>110096</v>
      </c>
      <c r="N25">
        <v>704668</v>
      </c>
      <c r="O25">
        <v>110096</v>
      </c>
      <c r="Q25">
        <v>11.83</v>
      </c>
      <c r="R25">
        <v>21.22</v>
      </c>
      <c r="S25">
        <v>14.37</v>
      </c>
      <c r="T25">
        <v>142.83000000000001</v>
      </c>
      <c r="U25">
        <v>9238.7000000000007</v>
      </c>
      <c r="V25">
        <v>0</v>
      </c>
      <c r="W25">
        <v>0</v>
      </c>
      <c r="X25">
        <v>233891.38</v>
      </c>
      <c r="AA25" s="232">
        <f t="shared" si="0"/>
        <v>108279.95867999998</v>
      </c>
      <c r="AB25" s="232">
        <f t="shared" si="1"/>
        <v>116372.74212000001</v>
      </c>
    </row>
    <row r="26" spans="1:28">
      <c r="A26" t="s">
        <v>2389</v>
      </c>
      <c r="B26">
        <v>6897</v>
      </c>
      <c r="C26" t="s">
        <v>2364</v>
      </c>
      <c r="D26">
        <v>5697</v>
      </c>
      <c r="E26" t="s">
        <v>2201</v>
      </c>
      <c r="F26" t="s">
        <v>2359</v>
      </c>
      <c r="G26">
        <v>2022</v>
      </c>
      <c r="H26">
        <v>7</v>
      </c>
      <c r="I26" s="8">
        <v>44743</v>
      </c>
      <c r="J26">
        <v>14500</v>
      </c>
      <c r="K26">
        <v>12500</v>
      </c>
      <c r="L26">
        <v>4838280</v>
      </c>
      <c r="M26">
        <v>537468</v>
      </c>
      <c r="N26">
        <v>5050965</v>
      </c>
      <c r="O26">
        <v>523990</v>
      </c>
      <c r="P26">
        <v>134775</v>
      </c>
      <c r="Q26">
        <v>11.83</v>
      </c>
      <c r="R26">
        <v>21.22</v>
      </c>
      <c r="S26">
        <v>14.37</v>
      </c>
      <c r="T26">
        <v>142.83000000000001</v>
      </c>
      <c r="U26">
        <v>53885.53</v>
      </c>
      <c r="V26">
        <v>0</v>
      </c>
      <c r="W26">
        <v>0</v>
      </c>
      <c r="X26">
        <v>1364190.84</v>
      </c>
      <c r="AA26" s="232">
        <f t="shared" si="0"/>
        <v>514034.49875999999</v>
      </c>
      <c r="AB26" s="232">
        <f t="shared" si="1"/>
        <v>796270.8226500001</v>
      </c>
    </row>
    <row r="27" spans="1:28">
      <c r="A27" t="s">
        <v>2390</v>
      </c>
      <c r="B27">
        <v>6897</v>
      </c>
      <c r="C27" t="s">
        <v>2364</v>
      </c>
      <c r="D27">
        <v>5697</v>
      </c>
      <c r="E27" t="s">
        <v>2201</v>
      </c>
      <c r="F27" t="s">
        <v>2359</v>
      </c>
      <c r="G27">
        <v>2022</v>
      </c>
      <c r="H27">
        <v>7</v>
      </c>
      <c r="I27" s="8">
        <v>44743</v>
      </c>
      <c r="J27">
        <v>4360</v>
      </c>
      <c r="K27">
        <v>3246</v>
      </c>
      <c r="L27">
        <v>1553914</v>
      </c>
      <c r="M27">
        <v>148143</v>
      </c>
      <c r="N27">
        <v>1553914</v>
      </c>
      <c r="O27">
        <v>148143</v>
      </c>
      <c r="Q27">
        <v>11.83</v>
      </c>
      <c r="R27">
        <v>21.22</v>
      </c>
      <c r="S27">
        <v>14.37</v>
      </c>
      <c r="T27">
        <v>142.83000000000001</v>
      </c>
      <c r="U27">
        <v>15957.14</v>
      </c>
      <c r="V27">
        <v>0</v>
      </c>
      <c r="W27">
        <v>0</v>
      </c>
      <c r="X27">
        <v>403978.08</v>
      </c>
      <c r="AA27" s="232">
        <f t="shared" si="0"/>
        <v>144917.47909000001</v>
      </c>
      <c r="AB27" s="232">
        <f t="shared" si="1"/>
        <v>243104.80131000001</v>
      </c>
    </row>
    <row r="28" spans="1:28">
      <c r="A28" t="s">
        <v>2415</v>
      </c>
      <c r="B28">
        <v>6897</v>
      </c>
      <c r="C28" t="s">
        <v>2364</v>
      </c>
      <c r="D28">
        <v>5697</v>
      </c>
      <c r="E28" t="s">
        <v>2201</v>
      </c>
      <c r="F28" t="s">
        <v>2359</v>
      </c>
      <c r="G28">
        <v>2022</v>
      </c>
      <c r="H28">
        <v>8</v>
      </c>
      <c r="I28" s="8">
        <v>44774</v>
      </c>
      <c r="J28">
        <v>4147</v>
      </c>
      <c r="K28">
        <v>3283</v>
      </c>
      <c r="L28">
        <v>1454204</v>
      </c>
      <c r="M28">
        <v>148392</v>
      </c>
      <c r="N28">
        <v>1454204</v>
      </c>
      <c r="O28">
        <v>148392</v>
      </c>
      <c r="Q28">
        <v>11.83</v>
      </c>
      <c r="R28">
        <v>21.22</v>
      </c>
      <c r="S28">
        <v>14.37</v>
      </c>
      <c r="T28">
        <v>142.83000000000001</v>
      </c>
      <c r="U28">
        <v>19549.43</v>
      </c>
      <c r="V28">
        <v>0</v>
      </c>
      <c r="W28">
        <v>0</v>
      </c>
      <c r="X28">
        <v>390208.37</v>
      </c>
      <c r="AA28" s="232">
        <f t="shared" si="0"/>
        <v>141753.57451999999</v>
      </c>
      <c r="AB28" s="232">
        <f t="shared" si="1"/>
        <v>228898.78668000002</v>
      </c>
    </row>
    <row r="29" spans="1:28">
      <c r="A29" t="s">
        <v>2416</v>
      </c>
      <c r="B29">
        <v>6897</v>
      </c>
      <c r="C29" t="s">
        <v>2364</v>
      </c>
      <c r="D29">
        <v>5697</v>
      </c>
      <c r="E29" t="s">
        <v>2201</v>
      </c>
      <c r="F29" t="s">
        <v>2359</v>
      </c>
      <c r="G29">
        <v>2022</v>
      </c>
      <c r="H29">
        <v>8</v>
      </c>
      <c r="I29" s="8">
        <v>44774</v>
      </c>
      <c r="J29">
        <v>14500</v>
      </c>
      <c r="K29">
        <v>12584</v>
      </c>
      <c r="L29">
        <v>5044384</v>
      </c>
      <c r="M29">
        <v>581563</v>
      </c>
      <c r="N29">
        <v>4989226</v>
      </c>
      <c r="O29">
        <v>567126</v>
      </c>
      <c r="P29">
        <v>139643</v>
      </c>
      <c r="Q29">
        <v>11.83</v>
      </c>
      <c r="R29">
        <v>21.22</v>
      </c>
      <c r="S29">
        <v>14.37</v>
      </c>
      <c r="T29">
        <v>142.83000000000001</v>
      </c>
      <c r="U29">
        <v>69252.3</v>
      </c>
      <c r="V29">
        <v>0</v>
      </c>
      <c r="W29">
        <v>0</v>
      </c>
      <c r="X29">
        <v>1382281.76</v>
      </c>
      <c r="AA29" s="232">
        <f t="shared" si="0"/>
        <v>519412.33838999999</v>
      </c>
      <c r="AB29" s="232">
        <f t="shared" si="1"/>
        <v>793613.75616000011</v>
      </c>
    </row>
    <row r="30" spans="1:28">
      <c r="A30" t="s">
        <v>2417</v>
      </c>
      <c r="B30">
        <v>6897</v>
      </c>
      <c r="C30" t="s">
        <v>2364</v>
      </c>
      <c r="D30">
        <v>5697</v>
      </c>
      <c r="E30" t="s">
        <v>2201</v>
      </c>
      <c r="F30" t="s">
        <v>2359</v>
      </c>
      <c r="G30">
        <v>2022</v>
      </c>
      <c r="H30">
        <v>8</v>
      </c>
      <c r="I30" s="8">
        <v>44774</v>
      </c>
      <c r="J30">
        <v>2800</v>
      </c>
      <c r="K30">
        <v>2990</v>
      </c>
      <c r="L30">
        <v>652214</v>
      </c>
      <c r="M30">
        <v>110750</v>
      </c>
      <c r="N30">
        <v>652214</v>
      </c>
      <c r="O30">
        <v>110750</v>
      </c>
      <c r="Q30">
        <v>11.83</v>
      </c>
      <c r="R30">
        <v>21.22</v>
      </c>
      <c r="S30">
        <v>14.37</v>
      </c>
      <c r="T30">
        <v>142.83000000000001</v>
      </c>
      <c r="U30">
        <v>11419.23</v>
      </c>
      <c r="V30">
        <v>0</v>
      </c>
      <c r="W30">
        <v>0</v>
      </c>
      <c r="X30">
        <v>227928.95</v>
      </c>
      <c r="AA30" s="232">
        <f t="shared" si="0"/>
        <v>107535.59267999999</v>
      </c>
      <c r="AB30" s="232">
        <f t="shared" si="1"/>
        <v>108974.14812000001</v>
      </c>
    </row>
    <row r="31" spans="1:28">
      <c r="A31" t="s">
        <v>2391</v>
      </c>
      <c r="B31">
        <v>6897</v>
      </c>
      <c r="C31" t="s">
        <v>2364</v>
      </c>
      <c r="D31">
        <v>5697</v>
      </c>
      <c r="E31" t="s">
        <v>2201</v>
      </c>
      <c r="F31" t="s">
        <v>2359</v>
      </c>
      <c r="G31">
        <v>2021</v>
      </c>
      <c r="H31">
        <v>6</v>
      </c>
      <c r="I31" s="8">
        <v>44348</v>
      </c>
      <c r="J31">
        <v>2644</v>
      </c>
      <c r="K31">
        <v>2589</v>
      </c>
      <c r="L31">
        <v>777204</v>
      </c>
      <c r="M31">
        <v>105136</v>
      </c>
      <c r="N31">
        <v>777204</v>
      </c>
      <c r="O31">
        <v>105136</v>
      </c>
      <c r="Q31">
        <v>12.33</v>
      </c>
      <c r="R31">
        <v>23.94</v>
      </c>
      <c r="S31">
        <v>10.17</v>
      </c>
      <c r="T31">
        <v>119.33</v>
      </c>
      <c r="U31">
        <v>15623.01</v>
      </c>
      <c r="V31">
        <v>0</v>
      </c>
      <c r="W31">
        <v>-12428.8</v>
      </c>
      <c r="X31">
        <v>239149.44</v>
      </c>
      <c r="AA31" s="232">
        <f t="shared" si="0"/>
        <v>103554.57780000001</v>
      </c>
      <c r="AB31" s="232">
        <f t="shared" si="1"/>
        <v>105289.63220000001</v>
      </c>
    </row>
    <row r="32" spans="1:28">
      <c r="A32" t="s">
        <v>2392</v>
      </c>
      <c r="B32">
        <v>6897</v>
      </c>
      <c r="C32" t="s">
        <v>2364</v>
      </c>
      <c r="D32">
        <v>5697</v>
      </c>
      <c r="E32" t="s">
        <v>2201</v>
      </c>
      <c r="F32" t="s">
        <v>2359</v>
      </c>
      <c r="G32">
        <v>2021</v>
      </c>
      <c r="H32">
        <v>6</v>
      </c>
      <c r="I32" s="8">
        <v>44348</v>
      </c>
      <c r="J32">
        <v>17760</v>
      </c>
      <c r="K32">
        <v>15120</v>
      </c>
      <c r="L32">
        <v>6572127</v>
      </c>
      <c r="M32">
        <v>639931</v>
      </c>
      <c r="N32">
        <v>6436097</v>
      </c>
      <c r="O32">
        <v>626331</v>
      </c>
      <c r="P32">
        <v>153272</v>
      </c>
      <c r="Q32">
        <v>12.33</v>
      </c>
      <c r="R32">
        <v>23.94</v>
      </c>
      <c r="S32">
        <v>10.17</v>
      </c>
      <c r="T32">
        <v>119.33</v>
      </c>
      <c r="U32">
        <v>112750.61</v>
      </c>
      <c r="V32">
        <v>0</v>
      </c>
      <c r="W32">
        <v>0</v>
      </c>
      <c r="X32">
        <v>1815629.79</v>
      </c>
      <c r="AA32" s="232">
        <f t="shared" si="0"/>
        <v>654300.22986000008</v>
      </c>
      <c r="AB32" s="232">
        <f t="shared" si="1"/>
        <v>842759.53324000002</v>
      </c>
    </row>
    <row r="33" spans="1:28">
      <c r="A33" t="s">
        <v>2393</v>
      </c>
      <c r="B33">
        <v>6897</v>
      </c>
      <c r="C33" t="s">
        <v>2364</v>
      </c>
      <c r="D33">
        <v>5697</v>
      </c>
      <c r="E33" t="s">
        <v>2201</v>
      </c>
      <c r="F33" t="s">
        <v>2359</v>
      </c>
      <c r="G33">
        <v>2021</v>
      </c>
      <c r="H33">
        <v>7</v>
      </c>
      <c r="I33" s="8">
        <v>44378</v>
      </c>
      <c r="J33">
        <v>2791</v>
      </c>
      <c r="K33">
        <v>2618</v>
      </c>
      <c r="L33">
        <v>805330</v>
      </c>
      <c r="M33">
        <v>108471</v>
      </c>
      <c r="N33">
        <v>805330</v>
      </c>
      <c r="O33">
        <v>108471</v>
      </c>
      <c r="Q33">
        <v>12.33</v>
      </c>
      <c r="R33">
        <v>23.94</v>
      </c>
      <c r="S33">
        <v>10.17</v>
      </c>
      <c r="T33">
        <v>119.33</v>
      </c>
      <c r="U33">
        <v>8314.9699999999993</v>
      </c>
      <c r="V33">
        <v>0</v>
      </c>
      <c r="W33">
        <v>0</v>
      </c>
      <c r="X33">
        <v>255845.9</v>
      </c>
      <c r="AA33" s="232">
        <f t="shared" si="0"/>
        <v>106381.30617000001</v>
      </c>
      <c r="AB33" s="232">
        <f t="shared" si="1"/>
        <v>109043.87333</v>
      </c>
    </row>
    <row r="34" spans="1:28">
      <c r="A34" t="s">
        <v>2394</v>
      </c>
      <c r="B34">
        <v>6897</v>
      </c>
      <c r="C34" t="s">
        <v>2364</v>
      </c>
      <c r="D34">
        <v>5697</v>
      </c>
      <c r="E34" t="s">
        <v>2201</v>
      </c>
      <c r="F34" t="s">
        <v>2359</v>
      </c>
      <c r="G34">
        <v>2021</v>
      </c>
      <c r="H34">
        <v>7</v>
      </c>
      <c r="I34" s="8">
        <v>44378</v>
      </c>
      <c r="J34">
        <v>17133</v>
      </c>
      <c r="K34">
        <v>14610</v>
      </c>
      <c r="L34">
        <v>6483647</v>
      </c>
      <c r="M34">
        <v>642859</v>
      </c>
      <c r="N34">
        <v>6460445</v>
      </c>
      <c r="O34">
        <v>629388</v>
      </c>
      <c r="P34">
        <v>149333</v>
      </c>
      <c r="Q34">
        <v>12.33</v>
      </c>
      <c r="R34">
        <v>23.94</v>
      </c>
      <c r="S34">
        <v>10.17</v>
      </c>
      <c r="T34">
        <v>119.33</v>
      </c>
      <c r="U34">
        <v>55275.11</v>
      </c>
      <c r="V34">
        <v>0</v>
      </c>
      <c r="W34">
        <v>0</v>
      </c>
      <c r="X34">
        <v>1700772.95</v>
      </c>
      <c r="AA34" s="232">
        <f t="shared" si="0"/>
        <v>633489.85602000006</v>
      </c>
      <c r="AB34" s="232">
        <f t="shared" si="1"/>
        <v>846029.77188999997</v>
      </c>
    </row>
    <row r="35" spans="1:28">
      <c r="A35" t="s">
        <v>2395</v>
      </c>
      <c r="B35">
        <v>6897</v>
      </c>
      <c r="C35" t="s">
        <v>2364</v>
      </c>
      <c r="D35">
        <v>5697</v>
      </c>
      <c r="E35" t="s">
        <v>2201</v>
      </c>
      <c r="F35" t="s">
        <v>2359</v>
      </c>
      <c r="G35">
        <v>2021</v>
      </c>
      <c r="H35">
        <v>8</v>
      </c>
      <c r="I35" s="8">
        <v>44409</v>
      </c>
      <c r="J35">
        <v>18122</v>
      </c>
      <c r="K35">
        <v>15280</v>
      </c>
      <c r="L35">
        <v>6608005</v>
      </c>
      <c r="M35">
        <v>698803</v>
      </c>
      <c r="N35">
        <v>6528356</v>
      </c>
      <c r="O35">
        <v>684119</v>
      </c>
      <c r="P35">
        <v>153539</v>
      </c>
      <c r="Q35">
        <v>12.33</v>
      </c>
      <c r="R35">
        <v>23.94</v>
      </c>
      <c r="S35">
        <v>10.17</v>
      </c>
      <c r="T35">
        <v>119.33</v>
      </c>
      <c r="U35">
        <v>3149.64</v>
      </c>
      <c r="V35">
        <v>0</v>
      </c>
      <c r="W35">
        <v>0</v>
      </c>
      <c r="X35">
        <v>1749800.18</v>
      </c>
      <c r="AA35" s="232">
        <f t="shared" si="0"/>
        <v>663557.69735999999</v>
      </c>
      <c r="AB35" s="232">
        <f t="shared" si="1"/>
        <v>860664.64175000007</v>
      </c>
    </row>
    <row r="36" spans="1:28">
      <c r="A36" t="s">
        <v>2396</v>
      </c>
      <c r="B36">
        <v>6897</v>
      </c>
      <c r="C36" t="s">
        <v>2364</v>
      </c>
      <c r="D36">
        <v>5697</v>
      </c>
      <c r="E36" t="s">
        <v>2201</v>
      </c>
      <c r="F36" t="s">
        <v>2359</v>
      </c>
      <c r="G36">
        <v>2021</v>
      </c>
      <c r="H36">
        <v>9</v>
      </c>
      <c r="I36" s="8">
        <v>44440</v>
      </c>
      <c r="J36">
        <v>2644</v>
      </c>
      <c r="K36">
        <v>2805</v>
      </c>
      <c r="L36">
        <v>755630</v>
      </c>
      <c r="M36">
        <v>119695</v>
      </c>
      <c r="N36">
        <v>755630</v>
      </c>
      <c r="O36">
        <v>119695</v>
      </c>
      <c r="Q36">
        <v>12.33</v>
      </c>
      <c r="R36">
        <v>23.94</v>
      </c>
      <c r="S36">
        <v>10.17</v>
      </c>
      <c r="T36">
        <v>119.33</v>
      </c>
      <c r="U36">
        <v>1006.26</v>
      </c>
      <c r="V36">
        <v>0</v>
      </c>
      <c r="W36">
        <v>0</v>
      </c>
      <c r="X36">
        <v>251566.16</v>
      </c>
      <c r="AA36" s="232">
        <f t="shared" si="0"/>
        <v>108654.27525000001</v>
      </c>
      <c r="AB36" s="232">
        <f t="shared" si="1"/>
        <v>104452.53225</v>
      </c>
    </row>
    <row r="37" spans="1:28">
      <c r="A37" t="s">
        <v>2397</v>
      </c>
      <c r="B37">
        <v>6897</v>
      </c>
      <c r="C37" t="s">
        <v>2364</v>
      </c>
      <c r="D37">
        <v>5697</v>
      </c>
      <c r="E37" t="s">
        <v>2201</v>
      </c>
      <c r="F37" t="s">
        <v>2359</v>
      </c>
      <c r="G37">
        <v>2021</v>
      </c>
      <c r="H37">
        <v>9</v>
      </c>
      <c r="I37" s="8">
        <v>44440</v>
      </c>
      <c r="J37">
        <v>18606</v>
      </c>
      <c r="K37">
        <v>15790</v>
      </c>
      <c r="L37">
        <v>6955077</v>
      </c>
      <c r="M37">
        <v>735133</v>
      </c>
      <c r="N37">
        <v>6830157</v>
      </c>
      <c r="O37">
        <v>719858</v>
      </c>
      <c r="P37">
        <v>159793</v>
      </c>
      <c r="Q37">
        <v>12.33</v>
      </c>
      <c r="R37">
        <v>23.94</v>
      </c>
      <c r="S37">
        <v>10.17</v>
      </c>
      <c r="T37">
        <v>119.33</v>
      </c>
      <c r="U37">
        <v>7410.99</v>
      </c>
      <c r="V37">
        <v>0</v>
      </c>
      <c r="W37">
        <v>0</v>
      </c>
      <c r="X37">
        <v>1852747.56</v>
      </c>
      <c r="AA37" s="232">
        <f t="shared" si="0"/>
        <v>685634.01570000011</v>
      </c>
      <c r="AB37" s="232">
        <f t="shared" si="1"/>
        <v>900943.28995000001</v>
      </c>
    </row>
    <row r="38" spans="1:28">
      <c r="AA38" s="232">
        <f t="shared" si="0"/>
        <v>0</v>
      </c>
      <c r="AB38" s="232">
        <f t="shared" si="1"/>
        <v>0</v>
      </c>
    </row>
    <row r="39" spans="1:28">
      <c r="AA39" s="232">
        <f t="shared" si="0"/>
        <v>0</v>
      </c>
      <c r="AB39" s="232">
        <f t="shared" si="1"/>
        <v>0</v>
      </c>
    </row>
    <row r="40" spans="1:28">
      <c r="AA40" s="232">
        <f t="shared" si="0"/>
        <v>0</v>
      </c>
      <c r="AB40" s="232">
        <f t="shared" si="1"/>
        <v>0</v>
      </c>
    </row>
    <row r="41" spans="1:28">
      <c r="AA41" s="232">
        <f t="shared" si="0"/>
        <v>0</v>
      </c>
      <c r="AB41" s="232">
        <f t="shared" si="1"/>
        <v>0</v>
      </c>
    </row>
    <row r="42" spans="1:28">
      <c r="AA42" s="232">
        <f t="shared" si="0"/>
        <v>0</v>
      </c>
      <c r="AB42" s="232">
        <f t="shared" si="1"/>
        <v>0</v>
      </c>
    </row>
    <row r="43" spans="1:28">
      <c r="AA43" s="232">
        <f t="shared" si="0"/>
        <v>0</v>
      </c>
      <c r="AB43" s="232">
        <f t="shared" si="1"/>
        <v>0</v>
      </c>
    </row>
    <row r="44" spans="1:28">
      <c r="AA44" s="232">
        <f t="shared" si="0"/>
        <v>0</v>
      </c>
      <c r="AB44" s="232">
        <f t="shared" si="1"/>
        <v>0</v>
      </c>
    </row>
    <row r="45" spans="1:28">
      <c r="AA45" s="232">
        <f t="shared" si="0"/>
        <v>0</v>
      </c>
      <c r="AB45" s="232">
        <f t="shared" si="1"/>
        <v>0</v>
      </c>
    </row>
    <row r="46" spans="1:28">
      <c r="AA46" s="232">
        <f t="shared" si="0"/>
        <v>0</v>
      </c>
      <c r="AB46" s="232">
        <f t="shared" si="1"/>
        <v>0</v>
      </c>
    </row>
    <row r="47" spans="1:28">
      <c r="AA47" s="232">
        <f t="shared" si="0"/>
        <v>0</v>
      </c>
      <c r="AB47" s="232">
        <f t="shared" si="1"/>
        <v>0</v>
      </c>
    </row>
    <row r="48" spans="1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544"/>
  <sheetViews>
    <sheetView topLeftCell="V1" zoomScaleNormal="10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6897</v>
      </c>
      <c r="B2" t="s">
        <v>2364</v>
      </c>
      <c r="C2">
        <v>5697</v>
      </c>
      <c r="D2" t="s">
        <v>2201</v>
      </c>
      <c r="E2" t="s">
        <v>2359</v>
      </c>
      <c r="F2">
        <v>202110</v>
      </c>
      <c r="G2" t="s">
        <v>190</v>
      </c>
      <c r="H2">
        <v>761337</v>
      </c>
      <c r="J2" s="721">
        <f>CAPA!K12</f>
        <v>6897</v>
      </c>
      <c r="K2" s="721" t="s">
        <v>177</v>
      </c>
      <c r="L2" s="721" t="str">
        <f>"&gt;="&amp;K6</f>
        <v>&gt;=202109</v>
      </c>
      <c r="M2" s="721" t="str">
        <f>"&lt;="&amp;K7</f>
        <v>&lt;=202208</v>
      </c>
      <c r="O2">
        <v>6897</v>
      </c>
      <c r="P2" t="s">
        <v>2364</v>
      </c>
      <c r="Q2">
        <v>5697</v>
      </c>
      <c r="R2" t="s">
        <v>2201</v>
      </c>
      <c r="S2" t="s">
        <v>2359</v>
      </c>
      <c r="T2">
        <v>202110</v>
      </c>
      <c r="U2" t="s">
        <v>190</v>
      </c>
      <c r="V2">
        <v>761337</v>
      </c>
      <c r="X2">
        <v>5697</v>
      </c>
      <c r="Y2" t="s">
        <v>2201</v>
      </c>
      <c r="Z2" t="s">
        <v>2359</v>
      </c>
      <c r="AB2">
        <v>5697</v>
      </c>
      <c r="AC2" t="s">
        <v>2201</v>
      </c>
      <c r="AD2" t="s">
        <v>2359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6897</v>
      </c>
      <c r="B3" t="s">
        <v>2364</v>
      </c>
      <c r="C3">
        <v>5697</v>
      </c>
      <c r="D3" t="s">
        <v>2201</v>
      </c>
      <c r="E3" t="s">
        <v>2359</v>
      </c>
      <c r="F3">
        <v>202110</v>
      </c>
      <c r="G3" t="s">
        <v>191</v>
      </c>
      <c r="H3">
        <v>115920</v>
      </c>
      <c r="J3" s="721">
        <f>J2</f>
        <v>6897</v>
      </c>
      <c r="K3" s="721" t="s">
        <v>179</v>
      </c>
      <c r="L3" s="721" t="str">
        <f>L2</f>
        <v>&gt;=202109</v>
      </c>
      <c r="M3" s="721" t="str">
        <f>M2</f>
        <v>&lt;=202208</v>
      </c>
      <c r="O3">
        <v>6897</v>
      </c>
      <c r="P3" t="s">
        <v>2364</v>
      </c>
      <c r="Q3">
        <v>5697</v>
      </c>
      <c r="R3" t="s">
        <v>2201</v>
      </c>
      <c r="S3" t="s">
        <v>2359</v>
      </c>
      <c r="T3">
        <v>202110</v>
      </c>
      <c r="U3" t="s">
        <v>191</v>
      </c>
      <c r="V3">
        <v>115920</v>
      </c>
      <c r="AB3">
        <v>5697</v>
      </c>
      <c r="AC3" t="s">
        <v>2201</v>
      </c>
      <c r="AD3" t="s">
        <v>2359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6897</v>
      </c>
      <c r="B4" t="s">
        <v>2364</v>
      </c>
      <c r="C4">
        <v>5697</v>
      </c>
      <c r="D4" t="s">
        <v>2201</v>
      </c>
      <c r="E4" t="s">
        <v>2359</v>
      </c>
      <c r="F4">
        <v>202110</v>
      </c>
      <c r="G4" t="s">
        <v>176</v>
      </c>
      <c r="H4">
        <v>0</v>
      </c>
      <c r="J4" s="723">
        <f>J3</f>
        <v>6897</v>
      </c>
      <c r="K4" s="721" t="s">
        <v>181</v>
      </c>
      <c r="L4" s="722" t="str">
        <f>L2</f>
        <v>&gt;=202109</v>
      </c>
      <c r="M4" s="722" t="str">
        <f>M2</f>
        <v>&lt;=202208</v>
      </c>
      <c r="O4">
        <v>6897</v>
      </c>
      <c r="P4" t="s">
        <v>2364</v>
      </c>
      <c r="Q4">
        <v>5697</v>
      </c>
      <c r="R4" t="s">
        <v>2201</v>
      </c>
      <c r="S4" t="s">
        <v>2359</v>
      </c>
      <c r="T4">
        <v>202110</v>
      </c>
      <c r="U4" t="s">
        <v>178</v>
      </c>
      <c r="V4">
        <v>2883</v>
      </c>
      <c r="AB4">
        <v>5697</v>
      </c>
      <c r="AC4" t="s">
        <v>2201</v>
      </c>
      <c r="AD4" t="s">
        <v>2359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6897</v>
      </c>
      <c r="B5" t="s">
        <v>2364</v>
      </c>
      <c r="C5">
        <v>5697</v>
      </c>
      <c r="D5" t="s">
        <v>2201</v>
      </c>
      <c r="E5" t="s">
        <v>2359</v>
      </c>
      <c r="F5">
        <v>202110</v>
      </c>
      <c r="G5" t="s">
        <v>178</v>
      </c>
      <c r="H5">
        <v>2883</v>
      </c>
      <c r="J5" s="723">
        <f>J4</f>
        <v>6897</v>
      </c>
      <c r="K5" s="902" t="s">
        <v>183</v>
      </c>
      <c r="L5" s="722" t="str">
        <f>L3</f>
        <v>&gt;=202109</v>
      </c>
      <c r="M5" s="722" t="str">
        <f>M3</f>
        <v>&lt;=202208</v>
      </c>
      <c r="O5">
        <v>6897</v>
      </c>
      <c r="P5" t="s">
        <v>2364</v>
      </c>
      <c r="Q5">
        <v>5697</v>
      </c>
      <c r="R5" t="s">
        <v>2201</v>
      </c>
      <c r="S5" t="s">
        <v>2359</v>
      </c>
      <c r="T5">
        <v>202110</v>
      </c>
      <c r="U5" t="s">
        <v>180</v>
      </c>
      <c r="V5">
        <v>2912</v>
      </c>
      <c r="AB5">
        <v>5697</v>
      </c>
      <c r="AC5" t="s">
        <v>2201</v>
      </c>
      <c r="AD5" t="s">
        <v>2359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6897</v>
      </c>
      <c r="B6" t="s">
        <v>2364</v>
      </c>
      <c r="C6">
        <v>5697</v>
      </c>
      <c r="D6" t="s">
        <v>2201</v>
      </c>
      <c r="E6" t="s">
        <v>2359</v>
      </c>
      <c r="F6">
        <v>202110</v>
      </c>
      <c r="G6" t="s">
        <v>180</v>
      </c>
      <c r="H6">
        <v>2912</v>
      </c>
      <c r="J6" t="s">
        <v>185</v>
      </c>
      <c r="K6">
        <f>(YEAR(SAS_RA0_DataInicio)*100+MONTH(SAS_RA0_DataInicio))</f>
        <v>202109</v>
      </c>
      <c r="O6">
        <v>6897</v>
      </c>
      <c r="P6" t="s">
        <v>2364</v>
      </c>
      <c r="Q6">
        <v>5697</v>
      </c>
      <c r="R6" t="s">
        <v>2201</v>
      </c>
      <c r="S6" t="s">
        <v>2359</v>
      </c>
      <c r="T6">
        <v>202110</v>
      </c>
      <c r="U6" t="s">
        <v>182</v>
      </c>
      <c r="V6">
        <v>761337</v>
      </c>
      <c r="AB6">
        <v>5697</v>
      </c>
      <c r="AC6" t="s">
        <v>2201</v>
      </c>
      <c r="AD6" t="s">
        <v>2359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6897</v>
      </c>
      <c r="B7" t="s">
        <v>2364</v>
      </c>
      <c r="C7">
        <v>5697</v>
      </c>
      <c r="D7" t="s">
        <v>2201</v>
      </c>
      <c r="E7" t="s">
        <v>2359</v>
      </c>
      <c r="F7">
        <v>202110</v>
      </c>
      <c r="G7" t="s">
        <v>182</v>
      </c>
      <c r="H7">
        <v>761337</v>
      </c>
      <c r="J7" t="s">
        <v>187</v>
      </c>
      <c r="K7">
        <f>YEAR(SAS_RA0_DataFim)*100+MONTH(SAS_RA0_DataFim)</f>
        <v>202208</v>
      </c>
      <c r="O7">
        <v>6897</v>
      </c>
      <c r="P7" t="s">
        <v>2364</v>
      </c>
      <c r="Q7">
        <v>5697</v>
      </c>
      <c r="R7" t="s">
        <v>2201</v>
      </c>
      <c r="S7" t="s">
        <v>2359</v>
      </c>
      <c r="T7">
        <v>202110</v>
      </c>
      <c r="U7" t="s">
        <v>184</v>
      </c>
      <c r="V7">
        <v>115920</v>
      </c>
      <c r="AI7">
        <f t="shared" si="0"/>
        <v>0</v>
      </c>
      <c r="AJ7" t="str">
        <f t="shared" si="1"/>
        <v>Nada</v>
      </c>
    </row>
    <row r="8" spans="1:36">
      <c r="A8">
        <v>6897</v>
      </c>
      <c r="B8" t="s">
        <v>2364</v>
      </c>
      <c r="C8">
        <v>5697</v>
      </c>
      <c r="D8" t="s">
        <v>2201</v>
      </c>
      <c r="E8" t="s">
        <v>2359</v>
      </c>
      <c r="F8">
        <v>202110</v>
      </c>
      <c r="G8" t="s">
        <v>184</v>
      </c>
      <c r="H8">
        <v>115920</v>
      </c>
      <c r="J8" t="s">
        <v>188</v>
      </c>
      <c r="K8" s="629">
        <f>MAX(AI:AI)</f>
        <v>202208</v>
      </c>
      <c r="O8">
        <v>6897</v>
      </c>
      <c r="P8" t="s">
        <v>2364</v>
      </c>
      <c r="Q8">
        <v>5697</v>
      </c>
      <c r="R8" t="s">
        <v>2201</v>
      </c>
      <c r="S8" t="s">
        <v>2359</v>
      </c>
      <c r="T8">
        <v>202110</v>
      </c>
      <c r="U8" t="s">
        <v>190</v>
      </c>
      <c r="V8">
        <v>6703429</v>
      </c>
      <c r="AI8">
        <f t="shared" si="0"/>
        <v>0</v>
      </c>
      <c r="AJ8" t="str">
        <f t="shared" si="1"/>
        <v>Nada</v>
      </c>
    </row>
    <row r="9" spans="1:36">
      <c r="A9">
        <v>6897</v>
      </c>
      <c r="B9" t="s">
        <v>2364</v>
      </c>
      <c r="C9">
        <v>5697</v>
      </c>
      <c r="D9" t="s">
        <v>2201</v>
      </c>
      <c r="E9" t="s">
        <v>2359</v>
      </c>
      <c r="F9">
        <v>202110</v>
      </c>
      <c r="G9" t="s">
        <v>192</v>
      </c>
      <c r="H9">
        <v>0</v>
      </c>
      <c r="J9" t="s">
        <v>189</v>
      </c>
      <c r="K9" s="629">
        <f>MAX(AJ:AJ)</f>
        <v>0</v>
      </c>
      <c r="O9">
        <v>6897</v>
      </c>
      <c r="P9" t="s">
        <v>2364</v>
      </c>
      <c r="Q9">
        <v>5697</v>
      </c>
      <c r="R9" t="s">
        <v>2201</v>
      </c>
      <c r="S9" t="s">
        <v>2359</v>
      </c>
      <c r="T9">
        <v>202110</v>
      </c>
      <c r="U9" t="s">
        <v>191</v>
      </c>
      <c r="V9">
        <v>692003</v>
      </c>
    </row>
    <row r="10" spans="1:36">
      <c r="A10">
        <v>6897</v>
      </c>
      <c r="B10" t="s">
        <v>2364</v>
      </c>
      <c r="C10">
        <v>5697</v>
      </c>
      <c r="D10" t="s">
        <v>2201</v>
      </c>
      <c r="E10" t="s">
        <v>2359</v>
      </c>
      <c r="F10">
        <v>202110</v>
      </c>
      <c r="G10" t="s">
        <v>2170</v>
      </c>
      <c r="H10">
        <v>7201.22</v>
      </c>
      <c r="O10">
        <v>6897</v>
      </c>
      <c r="P10" t="s">
        <v>2364</v>
      </c>
      <c r="Q10">
        <v>5697</v>
      </c>
      <c r="R10" t="s">
        <v>2201</v>
      </c>
      <c r="S10" t="s">
        <v>2359</v>
      </c>
      <c r="T10">
        <v>202110</v>
      </c>
      <c r="U10" t="s">
        <v>178</v>
      </c>
      <c r="V10">
        <v>18693</v>
      </c>
    </row>
    <row r="11" spans="1:36">
      <c r="A11">
        <v>6897</v>
      </c>
      <c r="B11" t="s">
        <v>2364</v>
      </c>
      <c r="C11">
        <v>5697</v>
      </c>
      <c r="D11" t="s">
        <v>2201</v>
      </c>
      <c r="E11" t="s">
        <v>2359</v>
      </c>
      <c r="F11">
        <v>202110</v>
      </c>
      <c r="G11" t="s">
        <v>2169</v>
      </c>
      <c r="H11">
        <v>119.33</v>
      </c>
      <c r="J11" s="780">
        <f>VALUE(A2)</f>
        <v>6897</v>
      </c>
      <c r="O11">
        <v>6897</v>
      </c>
      <c r="P11" t="s">
        <v>2364</v>
      </c>
      <c r="Q11">
        <v>5697</v>
      </c>
      <c r="R11" t="s">
        <v>2201</v>
      </c>
      <c r="S11" t="s">
        <v>2359</v>
      </c>
      <c r="T11">
        <v>202110</v>
      </c>
      <c r="U11" t="s">
        <v>180</v>
      </c>
      <c r="V11">
        <v>16718</v>
      </c>
    </row>
    <row r="12" spans="1:36">
      <c r="A12">
        <v>6897</v>
      </c>
      <c r="B12" t="s">
        <v>2364</v>
      </c>
      <c r="C12">
        <v>5697</v>
      </c>
      <c r="D12" t="s">
        <v>2201</v>
      </c>
      <c r="E12" t="s">
        <v>2359</v>
      </c>
      <c r="F12">
        <v>202110</v>
      </c>
      <c r="G12" t="s">
        <v>2166</v>
      </c>
      <c r="H12">
        <v>12.33</v>
      </c>
      <c r="K12" s="8"/>
      <c r="O12">
        <v>6897</v>
      </c>
      <c r="P12" t="s">
        <v>2364</v>
      </c>
      <c r="Q12">
        <v>5697</v>
      </c>
      <c r="R12" t="s">
        <v>2201</v>
      </c>
      <c r="S12" t="s">
        <v>2359</v>
      </c>
      <c r="T12">
        <v>202110</v>
      </c>
      <c r="U12" t="s">
        <v>182</v>
      </c>
      <c r="V12">
        <v>6745149</v>
      </c>
    </row>
    <row r="13" spans="1:36">
      <c r="A13">
        <v>6897</v>
      </c>
      <c r="B13" t="s">
        <v>2364</v>
      </c>
      <c r="C13">
        <v>5697</v>
      </c>
      <c r="D13" t="s">
        <v>2201</v>
      </c>
      <c r="E13" t="s">
        <v>2359</v>
      </c>
      <c r="F13">
        <v>202110</v>
      </c>
      <c r="G13" t="s">
        <v>2167</v>
      </c>
      <c r="H13">
        <v>23.94</v>
      </c>
      <c r="O13">
        <v>6897</v>
      </c>
      <c r="P13" t="s">
        <v>2364</v>
      </c>
      <c r="Q13">
        <v>5697</v>
      </c>
      <c r="R13" t="s">
        <v>2201</v>
      </c>
      <c r="S13" t="s">
        <v>2359</v>
      </c>
      <c r="T13">
        <v>202110</v>
      </c>
      <c r="U13" t="s">
        <v>184</v>
      </c>
      <c r="V13">
        <v>707163</v>
      </c>
    </row>
    <row r="14" spans="1:36">
      <c r="A14">
        <v>6897</v>
      </c>
      <c r="B14" t="s">
        <v>2364</v>
      </c>
      <c r="C14">
        <v>5697</v>
      </c>
      <c r="D14" t="s">
        <v>2201</v>
      </c>
      <c r="E14" t="s">
        <v>2359</v>
      </c>
      <c r="F14">
        <v>202110</v>
      </c>
      <c r="G14" t="s">
        <v>2168</v>
      </c>
      <c r="H14">
        <v>10.17</v>
      </c>
      <c r="O14">
        <v>6897</v>
      </c>
      <c r="P14" t="s">
        <v>2364</v>
      </c>
      <c r="Q14">
        <v>5697</v>
      </c>
      <c r="R14" t="s">
        <v>2201</v>
      </c>
      <c r="S14" t="s">
        <v>2359</v>
      </c>
      <c r="T14">
        <v>202110</v>
      </c>
      <c r="U14" t="s">
        <v>186</v>
      </c>
      <c r="V14">
        <v>159759</v>
      </c>
    </row>
    <row r="15" spans="1:36">
      <c r="A15">
        <v>6897</v>
      </c>
      <c r="B15" t="s">
        <v>2364</v>
      </c>
      <c r="C15">
        <v>5697</v>
      </c>
      <c r="D15" t="s">
        <v>2201</v>
      </c>
      <c r="E15" t="s">
        <v>2359</v>
      </c>
      <c r="F15">
        <v>202110</v>
      </c>
      <c r="G15" t="s">
        <v>2171</v>
      </c>
      <c r="H15">
        <v>269629.39</v>
      </c>
      <c r="O15">
        <v>6897</v>
      </c>
      <c r="P15" t="s">
        <v>2364</v>
      </c>
      <c r="Q15">
        <v>5697</v>
      </c>
      <c r="R15" t="s">
        <v>2201</v>
      </c>
      <c r="S15" t="s">
        <v>2359</v>
      </c>
      <c r="T15">
        <v>202111</v>
      </c>
      <c r="U15" t="s">
        <v>190</v>
      </c>
      <c r="V15">
        <v>727264</v>
      </c>
    </row>
    <row r="16" spans="1:36">
      <c r="A16">
        <v>6897</v>
      </c>
      <c r="B16" t="s">
        <v>2364</v>
      </c>
      <c r="C16">
        <v>5697</v>
      </c>
      <c r="D16" t="s">
        <v>2201</v>
      </c>
      <c r="E16" t="s">
        <v>2359</v>
      </c>
      <c r="F16">
        <v>202110</v>
      </c>
      <c r="G16" t="s">
        <v>190</v>
      </c>
      <c r="H16">
        <v>6703429</v>
      </c>
      <c r="O16">
        <v>6897</v>
      </c>
      <c r="P16" t="s">
        <v>2364</v>
      </c>
      <c r="Q16">
        <v>5697</v>
      </c>
      <c r="R16" t="s">
        <v>2201</v>
      </c>
      <c r="S16" t="s">
        <v>2359</v>
      </c>
      <c r="T16">
        <v>202111</v>
      </c>
      <c r="U16" t="s">
        <v>191</v>
      </c>
      <c r="V16">
        <v>111517</v>
      </c>
    </row>
    <row r="17" spans="1:22">
      <c r="A17">
        <v>6897</v>
      </c>
      <c r="B17" t="s">
        <v>2364</v>
      </c>
      <c r="C17">
        <v>5697</v>
      </c>
      <c r="D17" t="s">
        <v>2201</v>
      </c>
      <c r="E17" t="s">
        <v>2359</v>
      </c>
      <c r="F17">
        <v>202110</v>
      </c>
      <c r="G17" t="s">
        <v>191</v>
      </c>
      <c r="H17">
        <v>692003</v>
      </c>
      <c r="O17">
        <v>6897</v>
      </c>
      <c r="P17" t="s">
        <v>2364</v>
      </c>
      <c r="Q17">
        <v>5697</v>
      </c>
      <c r="R17" t="s">
        <v>2201</v>
      </c>
      <c r="S17" t="s">
        <v>2359</v>
      </c>
      <c r="T17">
        <v>202111</v>
      </c>
      <c r="U17" t="s">
        <v>178</v>
      </c>
      <c r="V17">
        <v>2627</v>
      </c>
    </row>
    <row r="18" spans="1:22">
      <c r="A18">
        <v>6897</v>
      </c>
      <c r="B18" t="s">
        <v>2364</v>
      </c>
      <c r="C18">
        <v>5697</v>
      </c>
      <c r="D18" t="s">
        <v>2201</v>
      </c>
      <c r="E18" t="s">
        <v>2359</v>
      </c>
      <c r="F18">
        <v>202110</v>
      </c>
      <c r="G18" t="s">
        <v>176</v>
      </c>
      <c r="H18">
        <v>0</v>
      </c>
      <c r="O18">
        <v>6897</v>
      </c>
      <c r="P18" t="s">
        <v>2364</v>
      </c>
      <c r="Q18">
        <v>5697</v>
      </c>
      <c r="R18" t="s">
        <v>2201</v>
      </c>
      <c r="S18" t="s">
        <v>2359</v>
      </c>
      <c r="T18">
        <v>202111</v>
      </c>
      <c r="U18" t="s">
        <v>180</v>
      </c>
      <c r="V18">
        <v>2727</v>
      </c>
    </row>
    <row r="19" spans="1:22">
      <c r="A19">
        <v>6897</v>
      </c>
      <c r="B19" t="s">
        <v>2364</v>
      </c>
      <c r="C19">
        <v>5697</v>
      </c>
      <c r="D19" t="s">
        <v>2201</v>
      </c>
      <c r="E19" t="s">
        <v>2359</v>
      </c>
      <c r="F19">
        <v>202110</v>
      </c>
      <c r="G19" t="s">
        <v>178</v>
      </c>
      <c r="H19">
        <v>18693</v>
      </c>
      <c r="O19">
        <v>6897</v>
      </c>
      <c r="P19" t="s">
        <v>2364</v>
      </c>
      <c r="Q19">
        <v>5697</v>
      </c>
      <c r="R19" t="s">
        <v>2201</v>
      </c>
      <c r="S19" t="s">
        <v>2359</v>
      </c>
      <c r="T19">
        <v>202111</v>
      </c>
      <c r="U19" t="s">
        <v>182</v>
      </c>
      <c r="V19">
        <v>727264</v>
      </c>
    </row>
    <row r="20" spans="1:22">
      <c r="A20">
        <v>6897</v>
      </c>
      <c r="B20" t="s">
        <v>2364</v>
      </c>
      <c r="C20">
        <v>5697</v>
      </c>
      <c r="D20" t="s">
        <v>2201</v>
      </c>
      <c r="E20" t="s">
        <v>2359</v>
      </c>
      <c r="F20">
        <v>202110</v>
      </c>
      <c r="G20" t="s">
        <v>180</v>
      </c>
      <c r="H20">
        <v>16718</v>
      </c>
      <c r="O20">
        <v>6897</v>
      </c>
      <c r="P20" t="s">
        <v>2364</v>
      </c>
      <c r="Q20">
        <v>5697</v>
      </c>
      <c r="R20" t="s">
        <v>2201</v>
      </c>
      <c r="S20" t="s">
        <v>2359</v>
      </c>
      <c r="T20">
        <v>202111</v>
      </c>
      <c r="U20" t="s">
        <v>184</v>
      </c>
      <c r="V20">
        <v>111517</v>
      </c>
    </row>
    <row r="21" spans="1:22">
      <c r="A21">
        <v>6897</v>
      </c>
      <c r="B21" t="s">
        <v>2364</v>
      </c>
      <c r="C21">
        <v>5697</v>
      </c>
      <c r="D21" t="s">
        <v>2201</v>
      </c>
      <c r="E21" t="s">
        <v>2359</v>
      </c>
      <c r="F21">
        <v>202110</v>
      </c>
      <c r="G21" t="s">
        <v>182</v>
      </c>
      <c r="H21">
        <v>6745149</v>
      </c>
      <c r="O21">
        <v>6897</v>
      </c>
      <c r="P21" t="s">
        <v>2364</v>
      </c>
      <c r="Q21">
        <v>5697</v>
      </c>
      <c r="R21" t="s">
        <v>2201</v>
      </c>
      <c r="S21" t="s">
        <v>2359</v>
      </c>
      <c r="T21">
        <v>202111</v>
      </c>
      <c r="U21" t="s">
        <v>190</v>
      </c>
      <c r="V21">
        <v>6406315</v>
      </c>
    </row>
    <row r="22" spans="1:22">
      <c r="A22">
        <v>6897</v>
      </c>
      <c r="B22" t="s">
        <v>2364</v>
      </c>
      <c r="C22">
        <v>5697</v>
      </c>
      <c r="D22" t="s">
        <v>2201</v>
      </c>
      <c r="E22" t="s">
        <v>2359</v>
      </c>
      <c r="F22">
        <v>202110</v>
      </c>
      <c r="G22" t="s">
        <v>184</v>
      </c>
      <c r="H22">
        <v>707163</v>
      </c>
      <c r="O22">
        <v>6897</v>
      </c>
      <c r="P22" t="s">
        <v>2364</v>
      </c>
      <c r="Q22">
        <v>5697</v>
      </c>
      <c r="R22" t="s">
        <v>2201</v>
      </c>
      <c r="S22" t="s">
        <v>2359</v>
      </c>
      <c r="T22">
        <v>202111</v>
      </c>
      <c r="U22" t="s">
        <v>191</v>
      </c>
      <c r="V22">
        <v>636973</v>
      </c>
    </row>
    <row r="23" spans="1:22">
      <c r="A23">
        <v>6897</v>
      </c>
      <c r="B23" t="s">
        <v>2364</v>
      </c>
      <c r="C23">
        <v>5697</v>
      </c>
      <c r="D23" t="s">
        <v>2201</v>
      </c>
      <c r="E23" t="s">
        <v>2359</v>
      </c>
      <c r="F23">
        <v>202110</v>
      </c>
      <c r="G23" t="s">
        <v>192</v>
      </c>
      <c r="H23">
        <v>0</v>
      </c>
      <c r="O23">
        <v>6897</v>
      </c>
      <c r="P23" t="s">
        <v>2364</v>
      </c>
      <c r="Q23">
        <v>5697</v>
      </c>
      <c r="R23" t="s">
        <v>2201</v>
      </c>
      <c r="S23" t="s">
        <v>2359</v>
      </c>
      <c r="T23">
        <v>202111</v>
      </c>
      <c r="U23" t="s">
        <v>178</v>
      </c>
      <c r="V23">
        <v>16222</v>
      </c>
    </row>
    <row r="24" spans="1:22">
      <c r="A24">
        <v>6897</v>
      </c>
      <c r="B24" t="s">
        <v>2364</v>
      </c>
      <c r="C24">
        <v>5697</v>
      </c>
      <c r="D24" t="s">
        <v>2201</v>
      </c>
      <c r="E24" t="s">
        <v>2359</v>
      </c>
      <c r="F24">
        <v>202110</v>
      </c>
      <c r="G24" t="s">
        <v>2170</v>
      </c>
      <c r="H24">
        <v>51078.36</v>
      </c>
      <c r="O24">
        <v>6897</v>
      </c>
      <c r="P24" t="s">
        <v>2364</v>
      </c>
      <c r="Q24">
        <v>5697</v>
      </c>
      <c r="R24" t="s">
        <v>2201</v>
      </c>
      <c r="S24" t="s">
        <v>2359</v>
      </c>
      <c r="T24">
        <v>202111</v>
      </c>
      <c r="U24" t="s">
        <v>180</v>
      </c>
      <c r="V24">
        <v>14446</v>
      </c>
    </row>
    <row r="25" spans="1:22">
      <c r="A25">
        <v>6897</v>
      </c>
      <c r="B25" t="s">
        <v>2364</v>
      </c>
      <c r="C25">
        <v>5697</v>
      </c>
      <c r="D25" t="s">
        <v>2201</v>
      </c>
      <c r="E25" t="s">
        <v>2359</v>
      </c>
      <c r="F25">
        <v>202110</v>
      </c>
      <c r="G25" t="s">
        <v>186</v>
      </c>
      <c r="H25">
        <v>159759</v>
      </c>
      <c r="O25">
        <v>6897</v>
      </c>
      <c r="P25" t="s">
        <v>2364</v>
      </c>
      <c r="Q25">
        <v>5697</v>
      </c>
      <c r="R25" t="s">
        <v>2201</v>
      </c>
      <c r="S25" t="s">
        <v>2359</v>
      </c>
      <c r="T25">
        <v>202111</v>
      </c>
      <c r="U25" t="s">
        <v>182</v>
      </c>
      <c r="V25">
        <v>6239326</v>
      </c>
    </row>
    <row r="26" spans="1:22">
      <c r="A26">
        <v>6897</v>
      </c>
      <c r="B26" t="s">
        <v>2364</v>
      </c>
      <c r="C26">
        <v>5697</v>
      </c>
      <c r="D26" t="s">
        <v>2201</v>
      </c>
      <c r="E26" t="s">
        <v>2359</v>
      </c>
      <c r="F26">
        <v>202110</v>
      </c>
      <c r="G26" t="s">
        <v>2169</v>
      </c>
      <c r="H26">
        <v>119.33</v>
      </c>
      <c r="O26">
        <v>6897</v>
      </c>
      <c r="P26" t="s">
        <v>2364</v>
      </c>
      <c r="Q26">
        <v>5697</v>
      </c>
      <c r="R26" t="s">
        <v>2201</v>
      </c>
      <c r="S26" t="s">
        <v>2359</v>
      </c>
      <c r="T26">
        <v>202111</v>
      </c>
      <c r="U26" t="s">
        <v>184</v>
      </c>
      <c r="V26">
        <v>653091</v>
      </c>
    </row>
    <row r="27" spans="1:22">
      <c r="A27">
        <v>6897</v>
      </c>
      <c r="B27" t="s">
        <v>2364</v>
      </c>
      <c r="C27">
        <v>5697</v>
      </c>
      <c r="D27" t="s">
        <v>2201</v>
      </c>
      <c r="E27" t="s">
        <v>2359</v>
      </c>
      <c r="F27">
        <v>202110</v>
      </c>
      <c r="G27" t="s">
        <v>2166</v>
      </c>
      <c r="H27">
        <v>12.33</v>
      </c>
      <c r="O27">
        <v>6897</v>
      </c>
      <c r="P27" t="s">
        <v>2364</v>
      </c>
      <c r="Q27">
        <v>5697</v>
      </c>
      <c r="R27" t="s">
        <v>2201</v>
      </c>
      <c r="S27" t="s">
        <v>2359</v>
      </c>
      <c r="T27">
        <v>202111</v>
      </c>
      <c r="U27" t="s">
        <v>186</v>
      </c>
      <c r="V27">
        <v>170105</v>
      </c>
    </row>
    <row r="28" spans="1:22">
      <c r="A28">
        <v>6897</v>
      </c>
      <c r="B28" t="s">
        <v>2364</v>
      </c>
      <c r="C28">
        <v>5697</v>
      </c>
      <c r="D28" t="s">
        <v>2201</v>
      </c>
      <c r="E28" t="s">
        <v>2359</v>
      </c>
      <c r="F28">
        <v>202110</v>
      </c>
      <c r="G28" t="s">
        <v>2167</v>
      </c>
      <c r="H28">
        <v>23.94</v>
      </c>
      <c r="O28">
        <v>6897</v>
      </c>
      <c r="P28" t="s">
        <v>2364</v>
      </c>
      <c r="Q28">
        <v>5697</v>
      </c>
      <c r="R28" t="s">
        <v>2201</v>
      </c>
      <c r="S28" t="s">
        <v>2359</v>
      </c>
      <c r="T28">
        <v>202112</v>
      </c>
      <c r="U28" t="s">
        <v>190</v>
      </c>
      <c r="V28">
        <v>6661429</v>
      </c>
    </row>
    <row r="29" spans="1:22">
      <c r="A29">
        <v>6897</v>
      </c>
      <c r="B29" t="s">
        <v>2364</v>
      </c>
      <c r="C29">
        <v>5697</v>
      </c>
      <c r="D29" t="s">
        <v>2201</v>
      </c>
      <c r="E29" t="s">
        <v>2359</v>
      </c>
      <c r="F29">
        <v>202110</v>
      </c>
      <c r="G29" t="s">
        <v>2168</v>
      </c>
      <c r="H29">
        <v>10.17</v>
      </c>
      <c r="O29">
        <v>6897</v>
      </c>
      <c r="P29" t="s">
        <v>2364</v>
      </c>
      <c r="Q29">
        <v>5697</v>
      </c>
      <c r="R29" t="s">
        <v>2201</v>
      </c>
      <c r="S29" t="s">
        <v>2359</v>
      </c>
      <c r="T29">
        <v>202112</v>
      </c>
      <c r="U29" t="s">
        <v>191</v>
      </c>
      <c r="V29">
        <v>677332</v>
      </c>
    </row>
    <row r="30" spans="1:22">
      <c r="A30">
        <v>6897</v>
      </c>
      <c r="B30" t="s">
        <v>2364</v>
      </c>
      <c r="C30">
        <v>5697</v>
      </c>
      <c r="D30" t="s">
        <v>2201</v>
      </c>
      <c r="E30" t="s">
        <v>2359</v>
      </c>
      <c r="F30">
        <v>202110</v>
      </c>
      <c r="G30" t="s">
        <v>2171</v>
      </c>
      <c r="H30">
        <v>1949555.85</v>
      </c>
      <c r="O30">
        <v>6897</v>
      </c>
      <c r="P30" t="s">
        <v>2364</v>
      </c>
      <c r="Q30">
        <v>5697</v>
      </c>
      <c r="R30" t="s">
        <v>2201</v>
      </c>
      <c r="S30" t="s">
        <v>2359</v>
      </c>
      <c r="T30">
        <v>202112</v>
      </c>
      <c r="U30" t="s">
        <v>178</v>
      </c>
      <c r="V30">
        <v>18278</v>
      </c>
    </row>
    <row r="31" spans="1:22">
      <c r="A31">
        <v>6897</v>
      </c>
      <c r="B31" t="s">
        <v>2364</v>
      </c>
      <c r="C31">
        <v>5697</v>
      </c>
      <c r="D31" t="s">
        <v>2201</v>
      </c>
      <c r="E31" t="s">
        <v>2359</v>
      </c>
      <c r="F31">
        <v>202111</v>
      </c>
      <c r="G31" t="s">
        <v>190</v>
      </c>
      <c r="H31">
        <v>727264</v>
      </c>
      <c r="O31">
        <v>6897</v>
      </c>
      <c r="P31" t="s">
        <v>2364</v>
      </c>
      <c r="Q31">
        <v>5697</v>
      </c>
      <c r="R31" t="s">
        <v>2201</v>
      </c>
      <c r="S31" t="s">
        <v>2359</v>
      </c>
      <c r="T31">
        <v>202112</v>
      </c>
      <c r="U31" t="s">
        <v>180</v>
      </c>
      <c r="V31">
        <v>15409</v>
      </c>
    </row>
    <row r="32" spans="1:22">
      <c r="A32">
        <v>6897</v>
      </c>
      <c r="B32" t="s">
        <v>2364</v>
      </c>
      <c r="C32">
        <v>5697</v>
      </c>
      <c r="D32" t="s">
        <v>2201</v>
      </c>
      <c r="E32" t="s">
        <v>2359</v>
      </c>
      <c r="F32">
        <v>202111</v>
      </c>
      <c r="G32" t="s">
        <v>191</v>
      </c>
      <c r="H32">
        <v>111517</v>
      </c>
      <c r="O32">
        <v>6897</v>
      </c>
      <c r="P32" t="s">
        <v>2364</v>
      </c>
      <c r="Q32">
        <v>5697</v>
      </c>
      <c r="R32" t="s">
        <v>2201</v>
      </c>
      <c r="S32" t="s">
        <v>2359</v>
      </c>
      <c r="T32">
        <v>202112</v>
      </c>
      <c r="U32" t="s">
        <v>182</v>
      </c>
      <c r="V32">
        <v>6763441</v>
      </c>
    </row>
    <row r="33" spans="1:22">
      <c r="A33">
        <v>6897</v>
      </c>
      <c r="B33" t="s">
        <v>2364</v>
      </c>
      <c r="C33">
        <v>5697</v>
      </c>
      <c r="D33" t="s">
        <v>2201</v>
      </c>
      <c r="E33" t="s">
        <v>2359</v>
      </c>
      <c r="F33">
        <v>202111</v>
      </c>
      <c r="G33" t="s">
        <v>176</v>
      </c>
      <c r="H33">
        <v>0</v>
      </c>
      <c r="O33">
        <v>6897</v>
      </c>
      <c r="P33" t="s">
        <v>2364</v>
      </c>
      <c r="Q33">
        <v>5697</v>
      </c>
      <c r="R33" t="s">
        <v>2201</v>
      </c>
      <c r="S33" t="s">
        <v>2359</v>
      </c>
      <c r="T33">
        <v>202112</v>
      </c>
      <c r="U33" t="s">
        <v>184</v>
      </c>
      <c r="V33">
        <v>693118</v>
      </c>
    </row>
    <row r="34" spans="1:22">
      <c r="A34">
        <v>6897</v>
      </c>
      <c r="B34" t="s">
        <v>2364</v>
      </c>
      <c r="C34">
        <v>5697</v>
      </c>
      <c r="D34" t="s">
        <v>2201</v>
      </c>
      <c r="E34" t="s">
        <v>2359</v>
      </c>
      <c r="F34">
        <v>202111</v>
      </c>
      <c r="G34" t="s">
        <v>178</v>
      </c>
      <c r="H34">
        <v>2627</v>
      </c>
      <c r="O34">
        <v>6897</v>
      </c>
      <c r="P34" t="s">
        <v>2364</v>
      </c>
      <c r="Q34">
        <v>5697</v>
      </c>
      <c r="R34" t="s">
        <v>2201</v>
      </c>
      <c r="S34" t="s">
        <v>2359</v>
      </c>
      <c r="T34">
        <v>202112</v>
      </c>
      <c r="U34" t="s">
        <v>186</v>
      </c>
      <c r="V34">
        <v>169829</v>
      </c>
    </row>
    <row r="35" spans="1:22">
      <c r="A35">
        <v>6897</v>
      </c>
      <c r="B35" t="s">
        <v>2364</v>
      </c>
      <c r="C35">
        <v>5697</v>
      </c>
      <c r="D35" t="s">
        <v>2201</v>
      </c>
      <c r="E35" t="s">
        <v>2359</v>
      </c>
      <c r="F35">
        <v>202111</v>
      </c>
      <c r="G35" t="s">
        <v>180</v>
      </c>
      <c r="H35">
        <v>2727</v>
      </c>
      <c r="O35">
        <v>6897</v>
      </c>
      <c r="P35" t="s">
        <v>2364</v>
      </c>
      <c r="Q35">
        <v>5697</v>
      </c>
      <c r="R35" t="s">
        <v>2201</v>
      </c>
      <c r="S35" t="s">
        <v>2359</v>
      </c>
      <c r="T35">
        <v>202112</v>
      </c>
      <c r="U35" t="s">
        <v>190</v>
      </c>
      <c r="V35">
        <v>763652</v>
      </c>
    </row>
    <row r="36" spans="1:22">
      <c r="A36">
        <v>6897</v>
      </c>
      <c r="B36" t="s">
        <v>2364</v>
      </c>
      <c r="C36">
        <v>5697</v>
      </c>
      <c r="D36" t="s">
        <v>2201</v>
      </c>
      <c r="E36" t="s">
        <v>2359</v>
      </c>
      <c r="F36">
        <v>202111</v>
      </c>
      <c r="G36" t="s">
        <v>182</v>
      </c>
      <c r="H36">
        <v>727264</v>
      </c>
      <c r="O36">
        <v>6897</v>
      </c>
      <c r="P36" t="s">
        <v>2364</v>
      </c>
      <c r="Q36">
        <v>5697</v>
      </c>
      <c r="R36" t="s">
        <v>2201</v>
      </c>
      <c r="S36" t="s">
        <v>2359</v>
      </c>
      <c r="T36">
        <v>202112</v>
      </c>
      <c r="U36" t="s">
        <v>191</v>
      </c>
      <c r="V36">
        <v>108838</v>
      </c>
    </row>
    <row r="37" spans="1:22">
      <c r="A37">
        <v>6897</v>
      </c>
      <c r="B37" t="s">
        <v>2364</v>
      </c>
      <c r="C37">
        <v>5697</v>
      </c>
      <c r="D37" t="s">
        <v>2201</v>
      </c>
      <c r="E37" t="s">
        <v>2359</v>
      </c>
      <c r="F37">
        <v>202111</v>
      </c>
      <c r="G37" t="s">
        <v>184</v>
      </c>
      <c r="H37">
        <v>111517</v>
      </c>
      <c r="O37">
        <v>6897</v>
      </c>
      <c r="P37" t="s">
        <v>2364</v>
      </c>
      <c r="Q37">
        <v>5697</v>
      </c>
      <c r="R37" t="s">
        <v>2201</v>
      </c>
      <c r="S37" t="s">
        <v>2359</v>
      </c>
      <c r="T37">
        <v>202112</v>
      </c>
      <c r="U37" t="s">
        <v>178</v>
      </c>
      <c r="V37">
        <v>3096</v>
      </c>
    </row>
    <row r="38" spans="1:22">
      <c r="A38">
        <v>6897</v>
      </c>
      <c r="B38" t="s">
        <v>2364</v>
      </c>
      <c r="C38">
        <v>5697</v>
      </c>
      <c r="D38" t="s">
        <v>2201</v>
      </c>
      <c r="E38" t="s">
        <v>2359</v>
      </c>
      <c r="F38">
        <v>202111</v>
      </c>
      <c r="G38" t="s">
        <v>192</v>
      </c>
      <c r="H38">
        <v>0</v>
      </c>
      <c r="O38">
        <v>6897</v>
      </c>
      <c r="P38" t="s">
        <v>2364</v>
      </c>
      <c r="Q38">
        <v>5697</v>
      </c>
      <c r="R38" t="s">
        <v>2201</v>
      </c>
      <c r="S38" t="s">
        <v>2359</v>
      </c>
      <c r="T38">
        <v>202112</v>
      </c>
      <c r="U38" t="s">
        <v>180</v>
      </c>
      <c r="V38">
        <v>2854</v>
      </c>
    </row>
    <row r="39" spans="1:22">
      <c r="A39">
        <v>6897</v>
      </c>
      <c r="B39" t="s">
        <v>2364</v>
      </c>
      <c r="C39">
        <v>5697</v>
      </c>
      <c r="D39" t="s">
        <v>2201</v>
      </c>
      <c r="E39" t="s">
        <v>2359</v>
      </c>
      <c r="F39">
        <v>202111</v>
      </c>
      <c r="G39" t="s">
        <v>2170</v>
      </c>
      <c r="H39">
        <v>9235.16</v>
      </c>
      <c r="O39">
        <v>6897</v>
      </c>
      <c r="P39" t="s">
        <v>2364</v>
      </c>
      <c r="Q39">
        <v>5697</v>
      </c>
      <c r="R39" t="s">
        <v>2201</v>
      </c>
      <c r="S39" t="s">
        <v>2359</v>
      </c>
      <c r="T39">
        <v>202112</v>
      </c>
      <c r="U39" t="s">
        <v>182</v>
      </c>
      <c r="V39">
        <v>763652</v>
      </c>
    </row>
    <row r="40" spans="1:22">
      <c r="A40">
        <v>6897</v>
      </c>
      <c r="B40" t="s">
        <v>2364</v>
      </c>
      <c r="C40">
        <v>5697</v>
      </c>
      <c r="D40" t="s">
        <v>2201</v>
      </c>
      <c r="E40" t="s">
        <v>2359</v>
      </c>
      <c r="F40">
        <v>202111</v>
      </c>
      <c r="G40" t="s">
        <v>2169</v>
      </c>
      <c r="H40">
        <v>142.83000000000001</v>
      </c>
      <c r="O40">
        <v>6897</v>
      </c>
      <c r="P40" t="s">
        <v>2364</v>
      </c>
      <c r="Q40">
        <v>5697</v>
      </c>
      <c r="R40" t="s">
        <v>2201</v>
      </c>
      <c r="S40" t="s">
        <v>2359</v>
      </c>
      <c r="T40">
        <v>202112</v>
      </c>
      <c r="U40" t="s">
        <v>184</v>
      </c>
      <c r="V40">
        <v>108838</v>
      </c>
    </row>
    <row r="41" spans="1:22">
      <c r="A41">
        <v>6897</v>
      </c>
      <c r="B41" t="s">
        <v>2364</v>
      </c>
      <c r="C41">
        <v>5697</v>
      </c>
      <c r="D41" t="s">
        <v>2201</v>
      </c>
      <c r="E41" t="s">
        <v>2359</v>
      </c>
      <c r="F41">
        <v>202111</v>
      </c>
      <c r="G41" t="s">
        <v>2166</v>
      </c>
      <c r="H41">
        <v>11.83</v>
      </c>
      <c r="O41">
        <v>6897</v>
      </c>
      <c r="P41" t="s">
        <v>2364</v>
      </c>
      <c r="Q41">
        <v>5697</v>
      </c>
      <c r="R41" t="s">
        <v>2201</v>
      </c>
      <c r="S41" t="s">
        <v>2359</v>
      </c>
      <c r="T41">
        <v>202201</v>
      </c>
      <c r="U41" t="s">
        <v>190</v>
      </c>
      <c r="V41">
        <v>899231</v>
      </c>
    </row>
    <row r="42" spans="1:22">
      <c r="A42">
        <v>6897</v>
      </c>
      <c r="B42" t="s">
        <v>2364</v>
      </c>
      <c r="C42">
        <v>5697</v>
      </c>
      <c r="D42" t="s">
        <v>2201</v>
      </c>
      <c r="E42" t="s">
        <v>2359</v>
      </c>
      <c r="F42">
        <v>202111</v>
      </c>
      <c r="G42" t="s">
        <v>2167</v>
      </c>
      <c r="H42">
        <v>21.22</v>
      </c>
      <c r="O42">
        <v>6897</v>
      </c>
      <c r="P42" t="s">
        <v>2364</v>
      </c>
      <c r="Q42">
        <v>5697</v>
      </c>
      <c r="R42" t="s">
        <v>2201</v>
      </c>
      <c r="S42" t="s">
        <v>2359</v>
      </c>
      <c r="T42">
        <v>202201</v>
      </c>
      <c r="U42" t="s">
        <v>191</v>
      </c>
      <c r="V42">
        <v>153535</v>
      </c>
    </row>
    <row r="43" spans="1:22">
      <c r="A43">
        <v>6897</v>
      </c>
      <c r="B43" t="s">
        <v>2364</v>
      </c>
      <c r="C43">
        <v>5697</v>
      </c>
      <c r="D43" t="s">
        <v>2201</v>
      </c>
      <c r="E43" t="s">
        <v>2359</v>
      </c>
      <c r="F43">
        <v>202111</v>
      </c>
      <c r="G43" t="s">
        <v>2168</v>
      </c>
      <c r="H43">
        <v>14.37</v>
      </c>
      <c r="O43">
        <v>6897</v>
      </c>
      <c r="P43" t="s">
        <v>2364</v>
      </c>
      <c r="Q43">
        <v>5697</v>
      </c>
      <c r="R43" t="s">
        <v>2201</v>
      </c>
      <c r="S43" t="s">
        <v>2359</v>
      </c>
      <c r="T43">
        <v>202201</v>
      </c>
      <c r="U43" t="s">
        <v>178</v>
      </c>
      <c r="V43">
        <v>2958</v>
      </c>
    </row>
    <row r="44" spans="1:22">
      <c r="A44">
        <v>6897</v>
      </c>
      <c r="B44" t="s">
        <v>2364</v>
      </c>
      <c r="C44">
        <v>5697</v>
      </c>
      <c r="D44" t="s">
        <v>2201</v>
      </c>
      <c r="E44" t="s">
        <v>2359</v>
      </c>
      <c r="F44">
        <v>202111</v>
      </c>
      <c r="G44" t="s">
        <v>2171</v>
      </c>
      <c r="H44">
        <v>258842.06</v>
      </c>
      <c r="O44">
        <v>6897</v>
      </c>
      <c r="P44" t="s">
        <v>2364</v>
      </c>
      <c r="Q44">
        <v>5697</v>
      </c>
      <c r="R44" t="s">
        <v>2201</v>
      </c>
      <c r="S44" t="s">
        <v>2359</v>
      </c>
      <c r="T44">
        <v>202201</v>
      </c>
      <c r="U44" t="s">
        <v>180</v>
      </c>
      <c r="V44">
        <v>2920</v>
      </c>
    </row>
    <row r="45" spans="1:22">
      <c r="A45">
        <v>6897</v>
      </c>
      <c r="B45" t="s">
        <v>2364</v>
      </c>
      <c r="C45">
        <v>5697</v>
      </c>
      <c r="D45" t="s">
        <v>2201</v>
      </c>
      <c r="E45" t="s">
        <v>2359</v>
      </c>
      <c r="F45">
        <v>202111</v>
      </c>
      <c r="G45" t="s">
        <v>190</v>
      </c>
      <c r="H45">
        <v>6406315</v>
      </c>
      <c r="O45">
        <v>6897</v>
      </c>
      <c r="P45" t="s">
        <v>2364</v>
      </c>
      <c r="Q45">
        <v>5697</v>
      </c>
      <c r="R45" t="s">
        <v>2201</v>
      </c>
      <c r="S45" t="s">
        <v>2359</v>
      </c>
      <c r="T45">
        <v>202201</v>
      </c>
      <c r="U45" t="s">
        <v>182</v>
      </c>
      <c r="V45">
        <v>899231</v>
      </c>
    </row>
    <row r="46" spans="1:22">
      <c r="A46">
        <v>6897</v>
      </c>
      <c r="B46" t="s">
        <v>2364</v>
      </c>
      <c r="C46">
        <v>5697</v>
      </c>
      <c r="D46" t="s">
        <v>2201</v>
      </c>
      <c r="E46" t="s">
        <v>2359</v>
      </c>
      <c r="F46">
        <v>202111</v>
      </c>
      <c r="G46" t="s">
        <v>191</v>
      </c>
      <c r="H46">
        <v>636973</v>
      </c>
      <c r="O46">
        <v>6897</v>
      </c>
      <c r="P46" t="s">
        <v>2364</v>
      </c>
      <c r="Q46">
        <v>5697</v>
      </c>
      <c r="R46" t="s">
        <v>2201</v>
      </c>
      <c r="S46" t="s">
        <v>2359</v>
      </c>
      <c r="T46">
        <v>202201</v>
      </c>
      <c r="U46" t="s">
        <v>184</v>
      </c>
      <c r="V46">
        <v>153535</v>
      </c>
    </row>
    <row r="47" spans="1:22">
      <c r="A47">
        <v>6897</v>
      </c>
      <c r="B47" t="s">
        <v>2364</v>
      </c>
      <c r="C47">
        <v>5697</v>
      </c>
      <c r="D47" t="s">
        <v>2201</v>
      </c>
      <c r="E47" t="s">
        <v>2359</v>
      </c>
      <c r="F47">
        <v>202111</v>
      </c>
      <c r="G47" t="s">
        <v>176</v>
      </c>
      <c r="H47">
        <v>0</v>
      </c>
      <c r="O47">
        <v>6897</v>
      </c>
      <c r="P47" t="s">
        <v>2364</v>
      </c>
      <c r="Q47">
        <v>5697</v>
      </c>
      <c r="R47" t="s">
        <v>2201</v>
      </c>
      <c r="S47" t="s">
        <v>2359</v>
      </c>
      <c r="T47">
        <v>202201</v>
      </c>
      <c r="U47" t="s">
        <v>190</v>
      </c>
      <c r="V47">
        <v>7041633</v>
      </c>
    </row>
    <row r="48" spans="1:22">
      <c r="A48">
        <v>6897</v>
      </c>
      <c r="B48" t="s">
        <v>2364</v>
      </c>
      <c r="C48">
        <v>5697</v>
      </c>
      <c r="D48" t="s">
        <v>2201</v>
      </c>
      <c r="E48" t="s">
        <v>2359</v>
      </c>
      <c r="F48">
        <v>202111</v>
      </c>
      <c r="G48" t="s">
        <v>178</v>
      </c>
      <c r="H48">
        <v>16222</v>
      </c>
      <c r="O48">
        <v>6897</v>
      </c>
      <c r="P48" t="s">
        <v>2364</v>
      </c>
      <c r="Q48">
        <v>5697</v>
      </c>
      <c r="R48" t="s">
        <v>2201</v>
      </c>
      <c r="S48" t="s">
        <v>2359</v>
      </c>
      <c r="T48">
        <v>202201</v>
      </c>
      <c r="U48" t="s">
        <v>191</v>
      </c>
      <c r="V48">
        <v>864490</v>
      </c>
    </row>
    <row r="49" spans="1:22">
      <c r="A49">
        <v>6897</v>
      </c>
      <c r="B49" t="s">
        <v>2364</v>
      </c>
      <c r="C49">
        <v>5697</v>
      </c>
      <c r="D49" t="s">
        <v>2201</v>
      </c>
      <c r="E49" t="s">
        <v>2359</v>
      </c>
      <c r="F49">
        <v>202111</v>
      </c>
      <c r="G49" t="s">
        <v>180</v>
      </c>
      <c r="H49">
        <v>14446</v>
      </c>
      <c r="O49">
        <v>6897</v>
      </c>
      <c r="P49" t="s">
        <v>2364</v>
      </c>
      <c r="Q49">
        <v>5697</v>
      </c>
      <c r="R49" t="s">
        <v>2201</v>
      </c>
      <c r="S49" t="s">
        <v>2359</v>
      </c>
      <c r="T49">
        <v>202201</v>
      </c>
      <c r="U49" t="s">
        <v>178</v>
      </c>
      <c r="V49">
        <v>17842</v>
      </c>
    </row>
    <row r="50" spans="1:22">
      <c r="A50">
        <v>6897</v>
      </c>
      <c r="B50" t="s">
        <v>2364</v>
      </c>
      <c r="C50">
        <v>5697</v>
      </c>
      <c r="D50" t="s">
        <v>2201</v>
      </c>
      <c r="E50" t="s">
        <v>2359</v>
      </c>
      <c r="F50">
        <v>202111</v>
      </c>
      <c r="G50" t="s">
        <v>182</v>
      </c>
      <c r="H50">
        <v>6239326</v>
      </c>
      <c r="O50">
        <v>6897</v>
      </c>
      <c r="P50" t="s">
        <v>2364</v>
      </c>
      <c r="Q50">
        <v>5697</v>
      </c>
      <c r="R50" t="s">
        <v>2201</v>
      </c>
      <c r="S50" t="s">
        <v>2359</v>
      </c>
      <c r="T50">
        <v>202201</v>
      </c>
      <c r="U50" t="s">
        <v>180</v>
      </c>
      <c r="V50">
        <v>16057</v>
      </c>
    </row>
    <row r="51" spans="1:22">
      <c r="A51">
        <v>6897</v>
      </c>
      <c r="B51" t="s">
        <v>2364</v>
      </c>
      <c r="C51">
        <v>5697</v>
      </c>
      <c r="D51" t="s">
        <v>2201</v>
      </c>
      <c r="E51" t="s">
        <v>2359</v>
      </c>
      <c r="F51">
        <v>202111</v>
      </c>
      <c r="G51" t="s">
        <v>184</v>
      </c>
      <c r="H51">
        <v>653091</v>
      </c>
      <c r="O51">
        <v>6897</v>
      </c>
      <c r="P51" t="s">
        <v>2364</v>
      </c>
      <c r="Q51">
        <v>5697</v>
      </c>
      <c r="R51" t="s">
        <v>2201</v>
      </c>
      <c r="S51" t="s">
        <v>2359</v>
      </c>
      <c r="T51">
        <v>202201</v>
      </c>
      <c r="U51" t="s">
        <v>182</v>
      </c>
      <c r="V51">
        <v>7176428</v>
      </c>
    </row>
    <row r="52" spans="1:22">
      <c r="A52">
        <v>6897</v>
      </c>
      <c r="B52" t="s">
        <v>2364</v>
      </c>
      <c r="C52">
        <v>5697</v>
      </c>
      <c r="D52" t="s">
        <v>2201</v>
      </c>
      <c r="E52" t="s">
        <v>2359</v>
      </c>
      <c r="F52">
        <v>202111</v>
      </c>
      <c r="G52" t="s">
        <v>192</v>
      </c>
      <c r="H52">
        <v>0</v>
      </c>
      <c r="O52">
        <v>6897</v>
      </c>
      <c r="P52" t="s">
        <v>2364</v>
      </c>
      <c r="Q52">
        <v>5697</v>
      </c>
      <c r="R52" t="s">
        <v>2201</v>
      </c>
      <c r="S52" t="s">
        <v>2359</v>
      </c>
      <c r="T52">
        <v>202201</v>
      </c>
      <c r="U52" t="s">
        <v>184</v>
      </c>
      <c r="V52">
        <v>881430</v>
      </c>
    </row>
    <row r="53" spans="1:22">
      <c r="A53">
        <v>6897</v>
      </c>
      <c r="B53" t="s">
        <v>2364</v>
      </c>
      <c r="C53">
        <v>5697</v>
      </c>
      <c r="D53" t="s">
        <v>2201</v>
      </c>
      <c r="E53" t="s">
        <v>2359</v>
      </c>
      <c r="F53">
        <v>202111</v>
      </c>
      <c r="G53" t="s">
        <v>2170</v>
      </c>
      <c r="H53">
        <v>63558.01</v>
      </c>
      <c r="O53">
        <v>6897</v>
      </c>
      <c r="P53" t="s">
        <v>2364</v>
      </c>
      <c r="Q53">
        <v>5697</v>
      </c>
      <c r="R53" t="s">
        <v>2201</v>
      </c>
      <c r="S53" t="s">
        <v>2359</v>
      </c>
      <c r="T53">
        <v>202201</v>
      </c>
      <c r="U53" t="s">
        <v>186</v>
      </c>
      <c r="V53">
        <v>154859</v>
      </c>
    </row>
    <row r="54" spans="1:22">
      <c r="A54">
        <v>6897</v>
      </c>
      <c r="B54" t="s">
        <v>2364</v>
      </c>
      <c r="C54">
        <v>5697</v>
      </c>
      <c r="D54" t="s">
        <v>2201</v>
      </c>
      <c r="E54" t="s">
        <v>2359</v>
      </c>
      <c r="F54">
        <v>202111</v>
      </c>
      <c r="G54" t="s">
        <v>186</v>
      </c>
      <c r="H54">
        <v>170105</v>
      </c>
      <c r="O54">
        <v>6897</v>
      </c>
      <c r="P54" t="s">
        <v>2364</v>
      </c>
      <c r="Q54">
        <v>5697</v>
      </c>
      <c r="R54" t="s">
        <v>2201</v>
      </c>
      <c r="S54" t="s">
        <v>2359</v>
      </c>
      <c r="T54">
        <v>202202</v>
      </c>
      <c r="U54" t="s">
        <v>190</v>
      </c>
      <c r="V54">
        <v>6296272</v>
      </c>
    </row>
    <row r="55" spans="1:22">
      <c r="A55">
        <v>6897</v>
      </c>
      <c r="B55" t="s">
        <v>2364</v>
      </c>
      <c r="C55">
        <v>5697</v>
      </c>
      <c r="D55" t="s">
        <v>2201</v>
      </c>
      <c r="E55" t="s">
        <v>2359</v>
      </c>
      <c r="F55">
        <v>202111</v>
      </c>
      <c r="G55" t="s">
        <v>2169</v>
      </c>
      <c r="H55">
        <v>142.83000000000001</v>
      </c>
      <c r="O55">
        <v>6897</v>
      </c>
      <c r="P55" t="s">
        <v>2364</v>
      </c>
      <c r="Q55">
        <v>5697</v>
      </c>
      <c r="R55" t="s">
        <v>2201</v>
      </c>
      <c r="S55" t="s">
        <v>2359</v>
      </c>
      <c r="T55">
        <v>202202</v>
      </c>
      <c r="U55" t="s">
        <v>191</v>
      </c>
      <c r="V55">
        <v>652968</v>
      </c>
    </row>
    <row r="56" spans="1:22">
      <c r="A56">
        <v>6897</v>
      </c>
      <c r="B56" t="s">
        <v>2364</v>
      </c>
      <c r="C56">
        <v>5697</v>
      </c>
      <c r="D56" t="s">
        <v>2201</v>
      </c>
      <c r="E56" t="s">
        <v>2359</v>
      </c>
      <c r="F56">
        <v>202111</v>
      </c>
      <c r="G56" t="s">
        <v>2166</v>
      </c>
      <c r="H56">
        <v>11.83</v>
      </c>
      <c r="O56">
        <v>6897</v>
      </c>
      <c r="P56" t="s">
        <v>2364</v>
      </c>
      <c r="Q56">
        <v>5697</v>
      </c>
      <c r="R56" t="s">
        <v>2201</v>
      </c>
      <c r="S56" t="s">
        <v>2359</v>
      </c>
      <c r="T56">
        <v>202202</v>
      </c>
      <c r="U56" t="s">
        <v>178</v>
      </c>
      <c r="V56">
        <v>16308</v>
      </c>
    </row>
    <row r="57" spans="1:22">
      <c r="A57">
        <v>6897</v>
      </c>
      <c r="B57" t="s">
        <v>2364</v>
      </c>
      <c r="C57">
        <v>5697</v>
      </c>
      <c r="D57" t="s">
        <v>2201</v>
      </c>
      <c r="E57" t="s">
        <v>2359</v>
      </c>
      <c r="F57">
        <v>202111</v>
      </c>
      <c r="G57" t="s">
        <v>2167</v>
      </c>
      <c r="H57">
        <v>21.22</v>
      </c>
      <c r="O57">
        <v>6897</v>
      </c>
      <c r="P57" t="s">
        <v>2364</v>
      </c>
      <c r="Q57">
        <v>5697</v>
      </c>
      <c r="R57" t="s">
        <v>2201</v>
      </c>
      <c r="S57" t="s">
        <v>2359</v>
      </c>
      <c r="T57">
        <v>202202</v>
      </c>
      <c r="U57" t="s">
        <v>180</v>
      </c>
      <c r="V57">
        <v>14377</v>
      </c>
    </row>
    <row r="58" spans="1:22">
      <c r="A58">
        <v>6897</v>
      </c>
      <c r="B58" t="s">
        <v>2364</v>
      </c>
      <c r="C58">
        <v>5697</v>
      </c>
      <c r="D58" t="s">
        <v>2201</v>
      </c>
      <c r="E58" t="s">
        <v>2359</v>
      </c>
      <c r="F58">
        <v>202111</v>
      </c>
      <c r="G58" t="s">
        <v>2168</v>
      </c>
      <c r="H58">
        <v>14.37</v>
      </c>
      <c r="O58">
        <v>6897</v>
      </c>
      <c r="P58" t="s">
        <v>2364</v>
      </c>
      <c r="Q58">
        <v>5697</v>
      </c>
      <c r="R58" t="s">
        <v>2201</v>
      </c>
      <c r="S58" t="s">
        <v>2359</v>
      </c>
      <c r="T58">
        <v>202202</v>
      </c>
      <c r="U58" t="s">
        <v>182</v>
      </c>
      <c r="V58">
        <v>6410169</v>
      </c>
    </row>
    <row r="59" spans="1:22">
      <c r="A59">
        <v>6897</v>
      </c>
      <c r="B59" t="s">
        <v>2364</v>
      </c>
      <c r="C59">
        <v>5697</v>
      </c>
      <c r="D59" t="s">
        <v>2201</v>
      </c>
      <c r="E59" t="s">
        <v>2359</v>
      </c>
      <c r="F59">
        <v>202111</v>
      </c>
      <c r="G59" t="s">
        <v>2171</v>
      </c>
      <c r="H59">
        <v>1790366.86</v>
      </c>
      <c r="O59">
        <v>6897</v>
      </c>
      <c r="P59" t="s">
        <v>2364</v>
      </c>
      <c r="Q59">
        <v>5697</v>
      </c>
      <c r="R59" t="s">
        <v>2201</v>
      </c>
      <c r="S59" t="s">
        <v>2359</v>
      </c>
      <c r="T59">
        <v>202202</v>
      </c>
      <c r="U59" t="s">
        <v>184</v>
      </c>
      <c r="V59">
        <v>664966</v>
      </c>
    </row>
    <row r="60" spans="1:22">
      <c r="A60">
        <v>6897</v>
      </c>
      <c r="B60" t="s">
        <v>2364</v>
      </c>
      <c r="C60">
        <v>5697</v>
      </c>
      <c r="D60" t="s">
        <v>2201</v>
      </c>
      <c r="E60" t="s">
        <v>2359</v>
      </c>
      <c r="F60">
        <v>202112</v>
      </c>
      <c r="G60" t="s">
        <v>190</v>
      </c>
      <c r="H60">
        <v>6661429</v>
      </c>
      <c r="O60">
        <v>6897</v>
      </c>
      <c r="P60" t="s">
        <v>2364</v>
      </c>
      <c r="Q60">
        <v>5697</v>
      </c>
      <c r="R60" t="s">
        <v>2201</v>
      </c>
      <c r="S60" t="s">
        <v>2359</v>
      </c>
      <c r="T60">
        <v>202202</v>
      </c>
      <c r="U60" t="s">
        <v>186</v>
      </c>
      <c r="V60">
        <v>127657</v>
      </c>
    </row>
    <row r="61" spans="1:22">
      <c r="A61">
        <v>6897</v>
      </c>
      <c r="B61" t="s">
        <v>2364</v>
      </c>
      <c r="C61">
        <v>5697</v>
      </c>
      <c r="D61" t="s">
        <v>2201</v>
      </c>
      <c r="E61" t="s">
        <v>2359</v>
      </c>
      <c r="F61">
        <v>202112</v>
      </c>
      <c r="G61" t="s">
        <v>191</v>
      </c>
      <c r="H61">
        <v>677332</v>
      </c>
      <c r="O61">
        <v>6897</v>
      </c>
      <c r="P61" t="s">
        <v>2364</v>
      </c>
      <c r="Q61">
        <v>5697</v>
      </c>
      <c r="R61" t="s">
        <v>2201</v>
      </c>
      <c r="S61" t="s">
        <v>2359</v>
      </c>
      <c r="T61">
        <v>202202</v>
      </c>
      <c r="U61" t="s">
        <v>190</v>
      </c>
      <c r="V61">
        <v>979949</v>
      </c>
    </row>
    <row r="62" spans="1:22">
      <c r="A62">
        <v>6897</v>
      </c>
      <c r="B62" t="s">
        <v>2364</v>
      </c>
      <c r="C62">
        <v>5697</v>
      </c>
      <c r="D62" t="s">
        <v>2201</v>
      </c>
      <c r="E62" t="s">
        <v>2359</v>
      </c>
      <c r="F62">
        <v>202112</v>
      </c>
      <c r="G62" t="s">
        <v>176</v>
      </c>
      <c r="H62">
        <v>0</v>
      </c>
      <c r="O62">
        <v>6897</v>
      </c>
      <c r="P62" t="s">
        <v>2364</v>
      </c>
      <c r="Q62">
        <v>5697</v>
      </c>
      <c r="R62" t="s">
        <v>2201</v>
      </c>
      <c r="S62" t="s">
        <v>2359</v>
      </c>
      <c r="T62">
        <v>202202</v>
      </c>
      <c r="U62" t="s">
        <v>191</v>
      </c>
      <c r="V62">
        <v>145434</v>
      </c>
    </row>
    <row r="63" spans="1:22">
      <c r="A63">
        <v>6897</v>
      </c>
      <c r="B63" t="s">
        <v>2364</v>
      </c>
      <c r="C63">
        <v>5697</v>
      </c>
      <c r="D63" t="s">
        <v>2201</v>
      </c>
      <c r="E63" t="s">
        <v>2359</v>
      </c>
      <c r="F63">
        <v>202112</v>
      </c>
      <c r="G63" t="s">
        <v>178</v>
      </c>
      <c r="H63">
        <v>18278</v>
      </c>
      <c r="O63">
        <v>6897</v>
      </c>
      <c r="P63" t="s">
        <v>2364</v>
      </c>
      <c r="Q63">
        <v>5697</v>
      </c>
      <c r="R63" t="s">
        <v>2201</v>
      </c>
      <c r="S63" t="s">
        <v>2359</v>
      </c>
      <c r="T63">
        <v>202202</v>
      </c>
      <c r="U63" t="s">
        <v>178</v>
      </c>
      <c r="V63">
        <v>3162</v>
      </c>
    </row>
    <row r="64" spans="1:22">
      <c r="A64">
        <v>6897</v>
      </c>
      <c r="B64" t="s">
        <v>2364</v>
      </c>
      <c r="C64">
        <v>5697</v>
      </c>
      <c r="D64" t="s">
        <v>2201</v>
      </c>
      <c r="E64" t="s">
        <v>2359</v>
      </c>
      <c r="F64">
        <v>202112</v>
      </c>
      <c r="G64" t="s">
        <v>180</v>
      </c>
      <c r="H64">
        <v>15409</v>
      </c>
      <c r="O64">
        <v>6897</v>
      </c>
      <c r="P64" t="s">
        <v>2364</v>
      </c>
      <c r="Q64">
        <v>5697</v>
      </c>
      <c r="R64" t="s">
        <v>2201</v>
      </c>
      <c r="S64" t="s">
        <v>2359</v>
      </c>
      <c r="T64">
        <v>202202</v>
      </c>
      <c r="U64" t="s">
        <v>180</v>
      </c>
      <c r="V64">
        <v>3162</v>
      </c>
    </row>
    <row r="65" spans="1:22">
      <c r="A65">
        <v>6897</v>
      </c>
      <c r="B65" t="s">
        <v>2364</v>
      </c>
      <c r="C65">
        <v>5697</v>
      </c>
      <c r="D65" t="s">
        <v>2201</v>
      </c>
      <c r="E65" t="s">
        <v>2359</v>
      </c>
      <c r="F65">
        <v>202112</v>
      </c>
      <c r="G65" t="s">
        <v>182</v>
      </c>
      <c r="H65">
        <v>6763441</v>
      </c>
      <c r="O65">
        <v>6897</v>
      </c>
      <c r="P65" t="s">
        <v>2364</v>
      </c>
      <c r="Q65">
        <v>5697</v>
      </c>
      <c r="R65" t="s">
        <v>2201</v>
      </c>
      <c r="S65" t="s">
        <v>2359</v>
      </c>
      <c r="T65">
        <v>202202</v>
      </c>
      <c r="U65" t="s">
        <v>182</v>
      </c>
      <c r="V65">
        <v>979949</v>
      </c>
    </row>
    <row r="66" spans="1:22">
      <c r="A66">
        <v>6897</v>
      </c>
      <c r="B66" t="s">
        <v>2364</v>
      </c>
      <c r="C66">
        <v>5697</v>
      </c>
      <c r="D66" t="s">
        <v>2201</v>
      </c>
      <c r="E66" t="s">
        <v>2359</v>
      </c>
      <c r="F66">
        <v>202112</v>
      </c>
      <c r="G66" t="s">
        <v>184</v>
      </c>
      <c r="H66">
        <v>693118</v>
      </c>
      <c r="O66">
        <v>6897</v>
      </c>
      <c r="P66" t="s">
        <v>2364</v>
      </c>
      <c r="Q66">
        <v>5697</v>
      </c>
      <c r="R66" t="s">
        <v>2201</v>
      </c>
      <c r="S66" t="s">
        <v>2359</v>
      </c>
      <c r="T66">
        <v>202202</v>
      </c>
      <c r="U66" t="s">
        <v>184</v>
      </c>
      <c r="V66">
        <v>145434</v>
      </c>
    </row>
    <row r="67" spans="1:22">
      <c r="A67">
        <v>6897</v>
      </c>
      <c r="B67" t="s">
        <v>2364</v>
      </c>
      <c r="C67">
        <v>5697</v>
      </c>
      <c r="D67" t="s">
        <v>2201</v>
      </c>
      <c r="E67" t="s">
        <v>2359</v>
      </c>
      <c r="F67">
        <v>202112</v>
      </c>
      <c r="G67" t="s">
        <v>192</v>
      </c>
      <c r="H67">
        <v>0</v>
      </c>
      <c r="O67">
        <v>6897</v>
      </c>
      <c r="P67" t="s">
        <v>2364</v>
      </c>
      <c r="Q67">
        <v>5697</v>
      </c>
      <c r="R67" t="s">
        <v>2201</v>
      </c>
      <c r="S67" t="s">
        <v>2359</v>
      </c>
      <c r="T67">
        <v>202203</v>
      </c>
      <c r="U67" t="s">
        <v>190</v>
      </c>
      <c r="V67">
        <v>5379091</v>
      </c>
    </row>
    <row r="68" spans="1:22">
      <c r="A68">
        <v>6897</v>
      </c>
      <c r="B68" t="s">
        <v>2364</v>
      </c>
      <c r="C68">
        <v>5697</v>
      </c>
      <c r="D68" t="s">
        <v>2201</v>
      </c>
      <c r="E68" t="s">
        <v>2359</v>
      </c>
      <c r="F68">
        <v>202112</v>
      </c>
      <c r="G68" t="s">
        <v>2170</v>
      </c>
      <c r="H68">
        <v>74264.78</v>
      </c>
      <c r="O68">
        <v>6897</v>
      </c>
      <c r="P68" t="s">
        <v>2364</v>
      </c>
      <c r="Q68">
        <v>5697</v>
      </c>
      <c r="R68" t="s">
        <v>2201</v>
      </c>
      <c r="S68" t="s">
        <v>2359</v>
      </c>
      <c r="T68">
        <v>202203</v>
      </c>
      <c r="U68" t="s">
        <v>191</v>
      </c>
      <c r="V68">
        <v>600423</v>
      </c>
    </row>
    <row r="69" spans="1:22">
      <c r="A69">
        <v>6897</v>
      </c>
      <c r="B69" t="s">
        <v>2364</v>
      </c>
      <c r="C69">
        <v>5697</v>
      </c>
      <c r="D69" t="s">
        <v>2201</v>
      </c>
      <c r="E69" t="s">
        <v>2359</v>
      </c>
      <c r="F69">
        <v>202112</v>
      </c>
      <c r="G69" t="s">
        <v>186</v>
      </c>
      <c r="H69">
        <v>169829</v>
      </c>
      <c r="O69">
        <v>6897</v>
      </c>
      <c r="P69" t="s">
        <v>2364</v>
      </c>
      <c r="Q69">
        <v>5697</v>
      </c>
      <c r="R69" t="s">
        <v>2201</v>
      </c>
      <c r="S69" t="s">
        <v>2359</v>
      </c>
      <c r="T69">
        <v>202203</v>
      </c>
      <c r="U69" t="s">
        <v>178</v>
      </c>
      <c r="V69">
        <v>15733</v>
      </c>
    </row>
    <row r="70" spans="1:22">
      <c r="A70">
        <v>6897</v>
      </c>
      <c r="B70" t="s">
        <v>2364</v>
      </c>
      <c r="C70">
        <v>5697</v>
      </c>
      <c r="D70" t="s">
        <v>2201</v>
      </c>
      <c r="E70" t="s">
        <v>2359</v>
      </c>
      <c r="F70">
        <v>202112</v>
      </c>
      <c r="G70" t="s">
        <v>2169</v>
      </c>
      <c r="H70">
        <v>142.83000000000001</v>
      </c>
      <c r="O70">
        <v>6897</v>
      </c>
      <c r="P70" t="s">
        <v>2364</v>
      </c>
      <c r="Q70">
        <v>5697</v>
      </c>
      <c r="R70" t="s">
        <v>2201</v>
      </c>
      <c r="S70" t="s">
        <v>2359</v>
      </c>
      <c r="T70">
        <v>202203</v>
      </c>
      <c r="U70" t="s">
        <v>180</v>
      </c>
      <c r="V70">
        <v>13409</v>
      </c>
    </row>
    <row r="71" spans="1:22">
      <c r="A71">
        <v>6897</v>
      </c>
      <c r="B71" t="s">
        <v>2364</v>
      </c>
      <c r="C71">
        <v>5697</v>
      </c>
      <c r="D71" t="s">
        <v>2201</v>
      </c>
      <c r="E71" t="s">
        <v>2359</v>
      </c>
      <c r="F71">
        <v>202112</v>
      </c>
      <c r="G71" t="s">
        <v>2166</v>
      </c>
      <c r="H71">
        <v>11.83</v>
      </c>
      <c r="O71">
        <v>6897</v>
      </c>
      <c r="P71" t="s">
        <v>2364</v>
      </c>
      <c r="Q71">
        <v>5697</v>
      </c>
      <c r="R71" t="s">
        <v>2201</v>
      </c>
      <c r="S71" t="s">
        <v>2359</v>
      </c>
      <c r="T71">
        <v>202203</v>
      </c>
      <c r="U71" t="s">
        <v>182</v>
      </c>
      <c r="V71">
        <v>5478590</v>
      </c>
    </row>
    <row r="72" spans="1:22">
      <c r="A72">
        <v>6897</v>
      </c>
      <c r="B72" t="s">
        <v>2364</v>
      </c>
      <c r="C72">
        <v>5697</v>
      </c>
      <c r="D72" t="s">
        <v>2201</v>
      </c>
      <c r="E72" t="s">
        <v>2359</v>
      </c>
      <c r="F72">
        <v>202112</v>
      </c>
      <c r="G72" t="s">
        <v>2167</v>
      </c>
      <c r="H72">
        <v>21.22</v>
      </c>
      <c r="O72">
        <v>6897</v>
      </c>
      <c r="P72" t="s">
        <v>2364</v>
      </c>
      <c r="Q72">
        <v>5697</v>
      </c>
      <c r="R72" t="s">
        <v>2201</v>
      </c>
      <c r="S72" t="s">
        <v>2359</v>
      </c>
      <c r="T72">
        <v>202203</v>
      </c>
      <c r="U72" t="s">
        <v>184</v>
      </c>
      <c r="V72">
        <v>611910</v>
      </c>
    </row>
    <row r="73" spans="1:22">
      <c r="A73">
        <v>6897</v>
      </c>
      <c r="B73" t="s">
        <v>2364</v>
      </c>
      <c r="C73">
        <v>5697</v>
      </c>
      <c r="D73" t="s">
        <v>2201</v>
      </c>
      <c r="E73" t="s">
        <v>2359</v>
      </c>
      <c r="F73">
        <v>202112</v>
      </c>
      <c r="G73" t="s">
        <v>2168</v>
      </c>
      <c r="H73">
        <v>14.37</v>
      </c>
      <c r="O73">
        <v>6897</v>
      </c>
      <c r="P73" t="s">
        <v>2364</v>
      </c>
      <c r="Q73">
        <v>5697</v>
      </c>
      <c r="R73" t="s">
        <v>2201</v>
      </c>
      <c r="S73" t="s">
        <v>2359</v>
      </c>
      <c r="T73">
        <v>202203</v>
      </c>
      <c r="U73" t="s">
        <v>186</v>
      </c>
      <c r="V73">
        <v>114332</v>
      </c>
    </row>
    <row r="74" spans="1:22">
      <c r="A74">
        <v>6897</v>
      </c>
      <c r="B74" t="s">
        <v>2364</v>
      </c>
      <c r="C74">
        <v>5697</v>
      </c>
      <c r="D74" t="s">
        <v>2201</v>
      </c>
      <c r="E74" t="s">
        <v>2359</v>
      </c>
      <c r="F74">
        <v>202112</v>
      </c>
      <c r="G74" t="s">
        <v>2171</v>
      </c>
      <c r="H74">
        <v>1985689.05</v>
      </c>
      <c r="O74">
        <v>6897</v>
      </c>
      <c r="P74" t="s">
        <v>2364</v>
      </c>
      <c r="Q74">
        <v>5697</v>
      </c>
      <c r="R74" t="s">
        <v>2201</v>
      </c>
      <c r="S74" t="s">
        <v>2359</v>
      </c>
      <c r="T74">
        <v>202203</v>
      </c>
      <c r="U74" t="s">
        <v>190</v>
      </c>
      <c r="V74">
        <v>1251396</v>
      </c>
    </row>
    <row r="75" spans="1:22">
      <c r="A75">
        <v>6897</v>
      </c>
      <c r="B75" t="s">
        <v>2364</v>
      </c>
      <c r="C75">
        <v>5697</v>
      </c>
      <c r="D75" t="s">
        <v>2201</v>
      </c>
      <c r="E75" t="s">
        <v>2359</v>
      </c>
      <c r="F75">
        <v>202112</v>
      </c>
      <c r="G75" t="s">
        <v>190</v>
      </c>
      <c r="H75">
        <v>763652</v>
      </c>
      <c r="O75">
        <v>6897</v>
      </c>
      <c r="P75" t="s">
        <v>2364</v>
      </c>
      <c r="Q75">
        <v>5697</v>
      </c>
      <c r="R75" t="s">
        <v>2201</v>
      </c>
      <c r="S75" t="s">
        <v>2359</v>
      </c>
      <c r="T75">
        <v>202203</v>
      </c>
      <c r="U75" t="s">
        <v>191</v>
      </c>
      <c r="V75">
        <v>149222</v>
      </c>
    </row>
    <row r="76" spans="1:22">
      <c r="A76">
        <v>6897</v>
      </c>
      <c r="B76" t="s">
        <v>2364</v>
      </c>
      <c r="C76">
        <v>5697</v>
      </c>
      <c r="D76" t="s">
        <v>2201</v>
      </c>
      <c r="E76" t="s">
        <v>2359</v>
      </c>
      <c r="F76">
        <v>202112</v>
      </c>
      <c r="G76" t="s">
        <v>191</v>
      </c>
      <c r="H76">
        <v>108838</v>
      </c>
      <c r="O76">
        <v>6897</v>
      </c>
      <c r="P76" t="s">
        <v>2364</v>
      </c>
      <c r="Q76">
        <v>5697</v>
      </c>
      <c r="R76" t="s">
        <v>2201</v>
      </c>
      <c r="S76" t="s">
        <v>2359</v>
      </c>
      <c r="T76">
        <v>202203</v>
      </c>
      <c r="U76" t="s">
        <v>178</v>
      </c>
      <c r="V76">
        <v>4303</v>
      </c>
    </row>
    <row r="77" spans="1:22">
      <c r="A77">
        <v>6897</v>
      </c>
      <c r="B77" t="s">
        <v>2364</v>
      </c>
      <c r="C77">
        <v>5697</v>
      </c>
      <c r="D77" t="s">
        <v>2201</v>
      </c>
      <c r="E77" t="s">
        <v>2359</v>
      </c>
      <c r="F77">
        <v>202112</v>
      </c>
      <c r="G77" t="s">
        <v>176</v>
      </c>
      <c r="H77">
        <v>0</v>
      </c>
      <c r="O77">
        <v>6897</v>
      </c>
      <c r="P77" t="s">
        <v>2364</v>
      </c>
      <c r="Q77">
        <v>5697</v>
      </c>
      <c r="R77" t="s">
        <v>2201</v>
      </c>
      <c r="S77" t="s">
        <v>2359</v>
      </c>
      <c r="T77">
        <v>202203</v>
      </c>
      <c r="U77" t="s">
        <v>180</v>
      </c>
      <c r="V77">
        <v>3450</v>
      </c>
    </row>
    <row r="78" spans="1:22">
      <c r="A78">
        <v>6897</v>
      </c>
      <c r="B78" t="s">
        <v>2364</v>
      </c>
      <c r="C78">
        <v>5697</v>
      </c>
      <c r="D78" t="s">
        <v>2201</v>
      </c>
      <c r="E78" t="s">
        <v>2359</v>
      </c>
      <c r="F78">
        <v>202112</v>
      </c>
      <c r="G78" t="s">
        <v>178</v>
      </c>
      <c r="H78">
        <v>3096</v>
      </c>
      <c r="O78">
        <v>6897</v>
      </c>
      <c r="P78" t="s">
        <v>2364</v>
      </c>
      <c r="Q78">
        <v>5697</v>
      </c>
      <c r="R78" t="s">
        <v>2201</v>
      </c>
      <c r="S78" t="s">
        <v>2359</v>
      </c>
      <c r="T78">
        <v>202203</v>
      </c>
      <c r="U78" t="s">
        <v>182</v>
      </c>
      <c r="V78">
        <v>1251396</v>
      </c>
    </row>
    <row r="79" spans="1:22">
      <c r="A79">
        <v>6897</v>
      </c>
      <c r="B79" t="s">
        <v>2364</v>
      </c>
      <c r="C79">
        <v>5697</v>
      </c>
      <c r="D79" t="s">
        <v>2201</v>
      </c>
      <c r="E79" t="s">
        <v>2359</v>
      </c>
      <c r="F79">
        <v>202112</v>
      </c>
      <c r="G79" t="s">
        <v>180</v>
      </c>
      <c r="H79">
        <v>2854</v>
      </c>
      <c r="O79">
        <v>6897</v>
      </c>
      <c r="P79" t="s">
        <v>2364</v>
      </c>
      <c r="Q79">
        <v>5697</v>
      </c>
      <c r="R79" t="s">
        <v>2201</v>
      </c>
      <c r="S79" t="s">
        <v>2359</v>
      </c>
      <c r="T79">
        <v>202203</v>
      </c>
      <c r="U79" t="s">
        <v>184</v>
      </c>
      <c r="V79">
        <v>149222</v>
      </c>
    </row>
    <row r="80" spans="1:22">
      <c r="A80">
        <v>6897</v>
      </c>
      <c r="B80" t="s">
        <v>2364</v>
      </c>
      <c r="C80">
        <v>5697</v>
      </c>
      <c r="D80" t="s">
        <v>2201</v>
      </c>
      <c r="E80" t="s">
        <v>2359</v>
      </c>
      <c r="F80">
        <v>202112</v>
      </c>
      <c r="G80" t="s">
        <v>182</v>
      </c>
      <c r="H80">
        <v>763652</v>
      </c>
      <c r="O80">
        <v>6897</v>
      </c>
      <c r="P80" t="s">
        <v>2364</v>
      </c>
      <c r="Q80">
        <v>5697</v>
      </c>
      <c r="R80" t="s">
        <v>2201</v>
      </c>
      <c r="S80" t="s">
        <v>2359</v>
      </c>
      <c r="T80">
        <v>202203</v>
      </c>
      <c r="U80" t="s">
        <v>190</v>
      </c>
      <c r="V80">
        <v>729394</v>
      </c>
    </row>
    <row r="81" spans="1:22">
      <c r="A81">
        <v>6897</v>
      </c>
      <c r="B81" t="s">
        <v>2364</v>
      </c>
      <c r="C81">
        <v>5697</v>
      </c>
      <c r="D81" t="s">
        <v>2201</v>
      </c>
      <c r="E81" t="s">
        <v>2359</v>
      </c>
      <c r="F81">
        <v>202112</v>
      </c>
      <c r="G81" t="s">
        <v>184</v>
      </c>
      <c r="H81">
        <v>108838</v>
      </c>
      <c r="O81">
        <v>6897</v>
      </c>
      <c r="P81" t="s">
        <v>2364</v>
      </c>
      <c r="Q81">
        <v>5697</v>
      </c>
      <c r="R81" t="s">
        <v>2201</v>
      </c>
      <c r="S81" t="s">
        <v>2359</v>
      </c>
      <c r="T81">
        <v>202203</v>
      </c>
      <c r="U81" t="s">
        <v>191</v>
      </c>
      <c r="V81">
        <v>127629</v>
      </c>
    </row>
    <row r="82" spans="1:22">
      <c r="A82">
        <v>6897</v>
      </c>
      <c r="B82" t="s">
        <v>2364</v>
      </c>
      <c r="C82">
        <v>5697</v>
      </c>
      <c r="D82" t="s">
        <v>2201</v>
      </c>
      <c r="E82" t="s">
        <v>2359</v>
      </c>
      <c r="F82">
        <v>202112</v>
      </c>
      <c r="G82" t="s">
        <v>192</v>
      </c>
      <c r="H82">
        <v>0</v>
      </c>
      <c r="O82">
        <v>6897</v>
      </c>
      <c r="P82" t="s">
        <v>2364</v>
      </c>
      <c r="Q82">
        <v>5697</v>
      </c>
      <c r="R82" t="s">
        <v>2201</v>
      </c>
      <c r="S82" t="s">
        <v>2359</v>
      </c>
      <c r="T82">
        <v>202203</v>
      </c>
      <c r="U82" t="s">
        <v>178</v>
      </c>
      <c r="V82">
        <v>2800</v>
      </c>
    </row>
    <row r="83" spans="1:22">
      <c r="A83">
        <v>6897</v>
      </c>
      <c r="B83" t="s">
        <v>2364</v>
      </c>
      <c r="C83">
        <v>5697</v>
      </c>
      <c r="D83" t="s">
        <v>2201</v>
      </c>
      <c r="E83" t="s">
        <v>2359</v>
      </c>
      <c r="F83">
        <v>202112</v>
      </c>
      <c r="G83" t="s">
        <v>2170</v>
      </c>
      <c r="H83">
        <v>9489.2000000000007</v>
      </c>
      <c r="O83">
        <v>6897</v>
      </c>
      <c r="P83" t="s">
        <v>2364</v>
      </c>
      <c r="Q83">
        <v>5697</v>
      </c>
      <c r="R83" t="s">
        <v>2201</v>
      </c>
      <c r="S83" t="s">
        <v>2359</v>
      </c>
      <c r="T83">
        <v>202203</v>
      </c>
      <c r="U83" t="s">
        <v>180</v>
      </c>
      <c r="V83">
        <v>2990</v>
      </c>
    </row>
    <row r="84" spans="1:22">
      <c r="A84">
        <v>6897</v>
      </c>
      <c r="B84" t="s">
        <v>2364</v>
      </c>
      <c r="C84">
        <v>5697</v>
      </c>
      <c r="D84" t="s">
        <v>2201</v>
      </c>
      <c r="E84" t="s">
        <v>2359</v>
      </c>
      <c r="F84">
        <v>202112</v>
      </c>
      <c r="G84" t="s">
        <v>2169</v>
      </c>
      <c r="H84">
        <v>142.83000000000001</v>
      </c>
      <c r="O84">
        <v>6897</v>
      </c>
      <c r="P84" t="s">
        <v>2364</v>
      </c>
      <c r="Q84">
        <v>5697</v>
      </c>
      <c r="R84" t="s">
        <v>2201</v>
      </c>
      <c r="S84" t="s">
        <v>2359</v>
      </c>
      <c r="T84">
        <v>202203</v>
      </c>
      <c r="U84" t="s">
        <v>182</v>
      </c>
      <c r="V84">
        <v>729394</v>
      </c>
    </row>
    <row r="85" spans="1:22">
      <c r="A85">
        <v>6897</v>
      </c>
      <c r="B85" t="s">
        <v>2364</v>
      </c>
      <c r="C85">
        <v>5697</v>
      </c>
      <c r="D85" t="s">
        <v>2201</v>
      </c>
      <c r="E85" t="s">
        <v>2359</v>
      </c>
      <c r="F85">
        <v>202112</v>
      </c>
      <c r="G85" t="s">
        <v>2166</v>
      </c>
      <c r="H85">
        <v>11.83</v>
      </c>
      <c r="O85">
        <v>6897</v>
      </c>
      <c r="P85" t="s">
        <v>2364</v>
      </c>
      <c r="Q85">
        <v>5697</v>
      </c>
      <c r="R85" t="s">
        <v>2201</v>
      </c>
      <c r="S85" t="s">
        <v>2359</v>
      </c>
      <c r="T85">
        <v>202203</v>
      </c>
      <c r="U85" t="s">
        <v>184</v>
      </c>
      <c r="V85">
        <v>127629</v>
      </c>
    </row>
    <row r="86" spans="1:22">
      <c r="A86">
        <v>6897</v>
      </c>
      <c r="B86" t="s">
        <v>2364</v>
      </c>
      <c r="C86">
        <v>5697</v>
      </c>
      <c r="D86" t="s">
        <v>2201</v>
      </c>
      <c r="E86" t="s">
        <v>2359</v>
      </c>
      <c r="F86">
        <v>202112</v>
      </c>
      <c r="G86" t="s">
        <v>2167</v>
      </c>
      <c r="H86">
        <v>21.22</v>
      </c>
      <c r="O86">
        <v>6897</v>
      </c>
      <c r="P86" t="s">
        <v>2364</v>
      </c>
      <c r="Q86">
        <v>5697</v>
      </c>
      <c r="R86" t="s">
        <v>2201</v>
      </c>
      <c r="S86" t="s">
        <v>2359</v>
      </c>
      <c r="T86">
        <v>202202</v>
      </c>
      <c r="U86" t="s">
        <v>190</v>
      </c>
      <c r="V86">
        <v>1363205</v>
      </c>
    </row>
    <row r="87" spans="1:22">
      <c r="A87">
        <v>6897</v>
      </c>
      <c r="B87" t="s">
        <v>2364</v>
      </c>
      <c r="C87">
        <v>5697</v>
      </c>
      <c r="D87" t="s">
        <v>2201</v>
      </c>
      <c r="E87" t="s">
        <v>2359</v>
      </c>
      <c r="F87">
        <v>202112</v>
      </c>
      <c r="G87" t="s">
        <v>2168</v>
      </c>
      <c r="H87">
        <v>14.37</v>
      </c>
      <c r="O87">
        <v>6897</v>
      </c>
      <c r="P87" t="s">
        <v>2364</v>
      </c>
      <c r="Q87">
        <v>5697</v>
      </c>
      <c r="R87" t="s">
        <v>2201</v>
      </c>
      <c r="S87" t="s">
        <v>2359</v>
      </c>
      <c r="T87">
        <v>202202</v>
      </c>
      <c r="U87" t="s">
        <v>191</v>
      </c>
      <c r="V87">
        <v>156505</v>
      </c>
    </row>
    <row r="88" spans="1:22">
      <c r="A88">
        <v>6897</v>
      </c>
      <c r="B88" t="s">
        <v>2364</v>
      </c>
      <c r="C88">
        <v>5697</v>
      </c>
      <c r="D88" t="s">
        <v>2201</v>
      </c>
      <c r="E88" t="s">
        <v>2359</v>
      </c>
      <c r="F88">
        <v>202112</v>
      </c>
      <c r="G88" t="s">
        <v>2171</v>
      </c>
      <c r="H88">
        <v>253721.45</v>
      </c>
      <c r="O88">
        <v>6897</v>
      </c>
      <c r="P88" t="s">
        <v>2364</v>
      </c>
      <c r="Q88">
        <v>5697</v>
      </c>
      <c r="R88" t="s">
        <v>2201</v>
      </c>
      <c r="S88" t="s">
        <v>2359</v>
      </c>
      <c r="T88">
        <v>202202</v>
      </c>
      <c r="U88" t="s">
        <v>178</v>
      </c>
      <c r="V88">
        <v>3424</v>
      </c>
    </row>
    <row r="89" spans="1:22">
      <c r="A89">
        <v>6897</v>
      </c>
      <c r="B89" t="s">
        <v>2364</v>
      </c>
      <c r="C89">
        <v>5697</v>
      </c>
      <c r="D89" t="s">
        <v>2201</v>
      </c>
      <c r="E89" t="s">
        <v>2359</v>
      </c>
      <c r="F89">
        <v>202201</v>
      </c>
      <c r="G89" t="s">
        <v>190</v>
      </c>
      <c r="H89">
        <v>899231</v>
      </c>
      <c r="O89">
        <v>6897</v>
      </c>
      <c r="P89" t="s">
        <v>2364</v>
      </c>
      <c r="Q89">
        <v>5697</v>
      </c>
      <c r="R89" t="s">
        <v>2201</v>
      </c>
      <c r="S89" t="s">
        <v>2359</v>
      </c>
      <c r="T89">
        <v>202202</v>
      </c>
      <c r="U89" t="s">
        <v>180</v>
      </c>
      <c r="V89">
        <v>2909</v>
      </c>
    </row>
    <row r="90" spans="1:22">
      <c r="A90">
        <v>6897</v>
      </c>
      <c r="B90" t="s">
        <v>2364</v>
      </c>
      <c r="C90">
        <v>5697</v>
      </c>
      <c r="D90" t="s">
        <v>2201</v>
      </c>
      <c r="E90" t="s">
        <v>2359</v>
      </c>
      <c r="F90">
        <v>202201</v>
      </c>
      <c r="G90" t="s">
        <v>191</v>
      </c>
      <c r="H90">
        <v>153535</v>
      </c>
      <c r="O90">
        <v>6897</v>
      </c>
      <c r="P90" t="s">
        <v>2364</v>
      </c>
      <c r="Q90">
        <v>5697</v>
      </c>
      <c r="R90" t="s">
        <v>2201</v>
      </c>
      <c r="S90" t="s">
        <v>2359</v>
      </c>
      <c r="T90">
        <v>202202</v>
      </c>
      <c r="U90" t="s">
        <v>182</v>
      </c>
      <c r="V90">
        <v>1363205</v>
      </c>
    </row>
    <row r="91" spans="1:22">
      <c r="A91">
        <v>6897</v>
      </c>
      <c r="B91" t="s">
        <v>2364</v>
      </c>
      <c r="C91">
        <v>5697</v>
      </c>
      <c r="D91" t="s">
        <v>2201</v>
      </c>
      <c r="E91" t="s">
        <v>2359</v>
      </c>
      <c r="F91">
        <v>202201</v>
      </c>
      <c r="G91" t="s">
        <v>176</v>
      </c>
      <c r="H91">
        <v>0</v>
      </c>
      <c r="O91">
        <v>6897</v>
      </c>
      <c r="P91" t="s">
        <v>2364</v>
      </c>
      <c r="Q91">
        <v>5697</v>
      </c>
      <c r="R91" t="s">
        <v>2201</v>
      </c>
      <c r="S91" t="s">
        <v>2359</v>
      </c>
      <c r="T91">
        <v>202202</v>
      </c>
      <c r="U91" t="s">
        <v>184</v>
      </c>
      <c r="V91">
        <v>156505</v>
      </c>
    </row>
    <row r="92" spans="1:22">
      <c r="A92">
        <v>6897</v>
      </c>
      <c r="B92" t="s">
        <v>2364</v>
      </c>
      <c r="C92">
        <v>5697</v>
      </c>
      <c r="D92" t="s">
        <v>2201</v>
      </c>
      <c r="E92" t="s">
        <v>2359</v>
      </c>
      <c r="F92">
        <v>202201</v>
      </c>
      <c r="G92" t="s">
        <v>178</v>
      </c>
      <c r="H92">
        <v>2958</v>
      </c>
      <c r="O92">
        <v>6897</v>
      </c>
      <c r="P92" t="s">
        <v>2364</v>
      </c>
      <c r="Q92">
        <v>5697</v>
      </c>
      <c r="R92" t="s">
        <v>2201</v>
      </c>
      <c r="S92" t="s">
        <v>2359</v>
      </c>
      <c r="T92">
        <v>202204</v>
      </c>
      <c r="U92" t="s">
        <v>190</v>
      </c>
      <c r="V92">
        <v>761224</v>
      </c>
    </row>
    <row r="93" spans="1:22">
      <c r="A93">
        <v>6897</v>
      </c>
      <c r="B93" t="s">
        <v>2364</v>
      </c>
      <c r="C93">
        <v>5697</v>
      </c>
      <c r="D93" t="s">
        <v>2201</v>
      </c>
      <c r="E93" t="s">
        <v>2359</v>
      </c>
      <c r="F93">
        <v>202201</v>
      </c>
      <c r="G93" t="s">
        <v>180</v>
      </c>
      <c r="H93">
        <v>2920</v>
      </c>
      <c r="O93">
        <v>6897</v>
      </c>
      <c r="P93" t="s">
        <v>2364</v>
      </c>
      <c r="Q93">
        <v>5697</v>
      </c>
      <c r="R93" t="s">
        <v>2201</v>
      </c>
      <c r="S93" t="s">
        <v>2359</v>
      </c>
      <c r="T93">
        <v>202204</v>
      </c>
      <c r="U93" t="s">
        <v>191</v>
      </c>
      <c r="V93">
        <v>126601</v>
      </c>
    </row>
    <row r="94" spans="1:22">
      <c r="A94">
        <v>6897</v>
      </c>
      <c r="B94" t="s">
        <v>2364</v>
      </c>
      <c r="C94">
        <v>5697</v>
      </c>
      <c r="D94" t="s">
        <v>2201</v>
      </c>
      <c r="E94" t="s">
        <v>2359</v>
      </c>
      <c r="F94">
        <v>202201</v>
      </c>
      <c r="G94" t="s">
        <v>182</v>
      </c>
      <c r="H94">
        <v>899231</v>
      </c>
      <c r="O94">
        <v>6897</v>
      </c>
      <c r="P94" t="s">
        <v>2364</v>
      </c>
      <c r="Q94">
        <v>5697</v>
      </c>
      <c r="R94" t="s">
        <v>2201</v>
      </c>
      <c r="S94" t="s">
        <v>2359</v>
      </c>
      <c r="T94">
        <v>202204</v>
      </c>
      <c r="U94" t="s">
        <v>178</v>
      </c>
      <c r="V94">
        <v>2808</v>
      </c>
    </row>
    <row r="95" spans="1:22">
      <c r="A95">
        <v>6897</v>
      </c>
      <c r="B95" t="s">
        <v>2364</v>
      </c>
      <c r="C95">
        <v>5697</v>
      </c>
      <c r="D95" t="s">
        <v>2201</v>
      </c>
      <c r="E95" t="s">
        <v>2359</v>
      </c>
      <c r="F95">
        <v>202201</v>
      </c>
      <c r="G95" t="s">
        <v>184</v>
      </c>
      <c r="H95">
        <v>153535</v>
      </c>
      <c r="O95">
        <v>6897</v>
      </c>
      <c r="P95" t="s">
        <v>2364</v>
      </c>
      <c r="Q95">
        <v>5697</v>
      </c>
      <c r="R95" t="s">
        <v>2201</v>
      </c>
      <c r="S95" t="s">
        <v>2359</v>
      </c>
      <c r="T95">
        <v>202204</v>
      </c>
      <c r="U95" t="s">
        <v>180</v>
      </c>
      <c r="V95">
        <v>2990</v>
      </c>
    </row>
    <row r="96" spans="1:22">
      <c r="A96">
        <v>6897</v>
      </c>
      <c r="B96" t="s">
        <v>2364</v>
      </c>
      <c r="C96">
        <v>5697</v>
      </c>
      <c r="D96" t="s">
        <v>2201</v>
      </c>
      <c r="E96" t="s">
        <v>2359</v>
      </c>
      <c r="F96">
        <v>202201</v>
      </c>
      <c r="G96" t="s">
        <v>192</v>
      </c>
      <c r="H96">
        <v>0</v>
      </c>
      <c r="O96">
        <v>6897</v>
      </c>
      <c r="P96" t="s">
        <v>2364</v>
      </c>
      <c r="Q96">
        <v>5697</v>
      </c>
      <c r="R96" t="s">
        <v>2201</v>
      </c>
      <c r="S96" t="s">
        <v>2359</v>
      </c>
      <c r="T96">
        <v>202204</v>
      </c>
      <c r="U96" t="s">
        <v>182</v>
      </c>
      <c r="V96">
        <v>761224</v>
      </c>
    </row>
    <row r="97" spans="1:22">
      <c r="A97">
        <v>6897</v>
      </c>
      <c r="B97" t="s">
        <v>2364</v>
      </c>
      <c r="C97">
        <v>5697</v>
      </c>
      <c r="D97" t="s">
        <v>2201</v>
      </c>
      <c r="E97" t="s">
        <v>2359</v>
      </c>
      <c r="F97">
        <v>202201</v>
      </c>
      <c r="G97" t="s">
        <v>2170</v>
      </c>
      <c r="H97">
        <v>10399.64</v>
      </c>
      <c r="O97">
        <v>6897</v>
      </c>
      <c r="P97" t="s">
        <v>2364</v>
      </c>
      <c r="Q97">
        <v>5697</v>
      </c>
      <c r="R97" t="s">
        <v>2201</v>
      </c>
      <c r="S97" t="s">
        <v>2359</v>
      </c>
      <c r="T97">
        <v>202204</v>
      </c>
      <c r="U97" t="s">
        <v>184</v>
      </c>
      <c r="V97">
        <v>126601</v>
      </c>
    </row>
    <row r="98" spans="1:22">
      <c r="A98">
        <v>6897</v>
      </c>
      <c r="B98" t="s">
        <v>2364</v>
      </c>
      <c r="C98">
        <v>5697</v>
      </c>
      <c r="D98" t="s">
        <v>2201</v>
      </c>
      <c r="E98" t="s">
        <v>2359</v>
      </c>
      <c r="F98">
        <v>202201</v>
      </c>
      <c r="G98" t="s">
        <v>2169</v>
      </c>
      <c r="H98">
        <v>142.83000000000001</v>
      </c>
      <c r="O98">
        <v>6897</v>
      </c>
      <c r="P98" t="s">
        <v>2364</v>
      </c>
      <c r="Q98">
        <v>5697</v>
      </c>
      <c r="R98" t="s">
        <v>2201</v>
      </c>
      <c r="S98" t="s">
        <v>2359</v>
      </c>
      <c r="T98">
        <v>202204</v>
      </c>
      <c r="U98" t="s">
        <v>190</v>
      </c>
      <c r="V98">
        <v>1636056</v>
      </c>
    </row>
    <row r="99" spans="1:22">
      <c r="A99">
        <v>6897</v>
      </c>
      <c r="B99" t="s">
        <v>2364</v>
      </c>
      <c r="C99">
        <v>5697</v>
      </c>
      <c r="D99" t="s">
        <v>2201</v>
      </c>
      <c r="E99" t="s">
        <v>2359</v>
      </c>
      <c r="F99">
        <v>202201</v>
      </c>
      <c r="G99" t="s">
        <v>2166</v>
      </c>
      <c r="H99">
        <v>11.83</v>
      </c>
      <c r="O99">
        <v>6897</v>
      </c>
      <c r="P99" t="s">
        <v>2364</v>
      </c>
      <c r="Q99">
        <v>5697</v>
      </c>
      <c r="R99" t="s">
        <v>2201</v>
      </c>
      <c r="S99" t="s">
        <v>2359</v>
      </c>
      <c r="T99">
        <v>202204</v>
      </c>
      <c r="U99" t="s">
        <v>191</v>
      </c>
      <c r="V99">
        <v>174188</v>
      </c>
    </row>
    <row r="100" spans="1:22">
      <c r="A100">
        <v>6897</v>
      </c>
      <c r="B100" t="s">
        <v>2364</v>
      </c>
      <c r="C100">
        <v>5697</v>
      </c>
      <c r="D100" t="s">
        <v>2201</v>
      </c>
      <c r="E100" t="s">
        <v>2359</v>
      </c>
      <c r="F100">
        <v>202201</v>
      </c>
      <c r="G100" t="s">
        <v>2167</v>
      </c>
      <c r="H100">
        <v>21.22</v>
      </c>
      <c r="O100">
        <v>6897</v>
      </c>
      <c r="P100" t="s">
        <v>2364</v>
      </c>
      <c r="Q100">
        <v>5697</v>
      </c>
      <c r="R100" t="s">
        <v>2201</v>
      </c>
      <c r="S100" t="s">
        <v>2359</v>
      </c>
      <c r="T100">
        <v>202204</v>
      </c>
      <c r="U100" t="s">
        <v>178</v>
      </c>
      <c r="V100">
        <v>4556</v>
      </c>
    </row>
    <row r="101" spans="1:22">
      <c r="A101">
        <v>6897</v>
      </c>
      <c r="B101" t="s">
        <v>2364</v>
      </c>
      <c r="C101">
        <v>5697</v>
      </c>
      <c r="D101" t="s">
        <v>2201</v>
      </c>
      <c r="E101" t="s">
        <v>2359</v>
      </c>
      <c r="F101">
        <v>202201</v>
      </c>
      <c r="G101" t="s">
        <v>2168</v>
      </c>
      <c r="H101">
        <v>14.37</v>
      </c>
      <c r="O101">
        <v>6897</v>
      </c>
      <c r="P101" t="s">
        <v>2364</v>
      </c>
      <c r="Q101">
        <v>5697</v>
      </c>
      <c r="R101" t="s">
        <v>2201</v>
      </c>
      <c r="S101" t="s">
        <v>2359</v>
      </c>
      <c r="T101">
        <v>202204</v>
      </c>
      <c r="U101" t="s">
        <v>180</v>
      </c>
      <c r="V101">
        <v>3583</v>
      </c>
    </row>
    <row r="102" spans="1:22">
      <c r="A102">
        <v>6897</v>
      </c>
      <c r="B102" t="s">
        <v>2364</v>
      </c>
      <c r="C102">
        <v>5697</v>
      </c>
      <c r="D102" t="s">
        <v>2201</v>
      </c>
      <c r="E102" t="s">
        <v>2359</v>
      </c>
      <c r="F102">
        <v>202201</v>
      </c>
      <c r="G102" t="s">
        <v>2171</v>
      </c>
      <c r="H102">
        <v>274815.14</v>
      </c>
      <c r="O102">
        <v>6897</v>
      </c>
      <c r="P102" t="s">
        <v>2364</v>
      </c>
      <c r="Q102">
        <v>5697</v>
      </c>
      <c r="R102" t="s">
        <v>2201</v>
      </c>
      <c r="S102" t="s">
        <v>2359</v>
      </c>
      <c r="T102">
        <v>202204</v>
      </c>
      <c r="U102" t="s">
        <v>182</v>
      </c>
      <c r="V102">
        <v>1636056</v>
      </c>
    </row>
    <row r="103" spans="1:22">
      <c r="A103">
        <v>6897</v>
      </c>
      <c r="B103" t="s">
        <v>2364</v>
      </c>
      <c r="C103">
        <v>5697</v>
      </c>
      <c r="D103" t="s">
        <v>2201</v>
      </c>
      <c r="E103" t="s">
        <v>2359</v>
      </c>
      <c r="F103">
        <v>202201</v>
      </c>
      <c r="G103" t="s">
        <v>190</v>
      </c>
      <c r="H103">
        <v>7041633</v>
      </c>
      <c r="O103">
        <v>6897</v>
      </c>
      <c r="P103" t="s">
        <v>2364</v>
      </c>
      <c r="Q103">
        <v>5697</v>
      </c>
      <c r="R103" t="s">
        <v>2201</v>
      </c>
      <c r="S103" t="s">
        <v>2359</v>
      </c>
      <c r="T103">
        <v>202204</v>
      </c>
      <c r="U103" t="s">
        <v>184</v>
      </c>
      <c r="V103">
        <v>174188</v>
      </c>
    </row>
    <row r="104" spans="1:22">
      <c r="A104">
        <v>6897</v>
      </c>
      <c r="B104" t="s">
        <v>2364</v>
      </c>
      <c r="C104">
        <v>5697</v>
      </c>
      <c r="D104" t="s">
        <v>2201</v>
      </c>
      <c r="E104" t="s">
        <v>2359</v>
      </c>
      <c r="F104">
        <v>202201</v>
      </c>
      <c r="G104" t="s">
        <v>191</v>
      </c>
      <c r="H104">
        <v>864490</v>
      </c>
      <c r="O104">
        <v>6897</v>
      </c>
      <c r="P104" t="s">
        <v>2364</v>
      </c>
      <c r="Q104">
        <v>5697</v>
      </c>
      <c r="R104" t="s">
        <v>2201</v>
      </c>
      <c r="S104" t="s">
        <v>2359</v>
      </c>
      <c r="T104">
        <v>202204</v>
      </c>
      <c r="U104" t="s">
        <v>190</v>
      </c>
      <c r="V104">
        <v>5440892</v>
      </c>
    </row>
    <row r="105" spans="1:22">
      <c r="A105">
        <v>6897</v>
      </c>
      <c r="B105" t="s">
        <v>2364</v>
      </c>
      <c r="C105">
        <v>5697</v>
      </c>
      <c r="D105" t="s">
        <v>2201</v>
      </c>
      <c r="E105" t="s">
        <v>2359</v>
      </c>
      <c r="F105">
        <v>202201</v>
      </c>
      <c r="G105" t="s">
        <v>176</v>
      </c>
      <c r="H105">
        <v>0</v>
      </c>
      <c r="O105">
        <v>6897</v>
      </c>
      <c r="P105" t="s">
        <v>2364</v>
      </c>
      <c r="Q105">
        <v>5697</v>
      </c>
      <c r="R105" t="s">
        <v>2201</v>
      </c>
      <c r="S105" t="s">
        <v>2359</v>
      </c>
      <c r="T105">
        <v>202204</v>
      </c>
      <c r="U105" t="s">
        <v>191</v>
      </c>
      <c r="V105">
        <v>560070</v>
      </c>
    </row>
    <row r="106" spans="1:22">
      <c r="A106">
        <v>6897</v>
      </c>
      <c r="B106" t="s">
        <v>2364</v>
      </c>
      <c r="C106">
        <v>5697</v>
      </c>
      <c r="D106" t="s">
        <v>2201</v>
      </c>
      <c r="E106" t="s">
        <v>2359</v>
      </c>
      <c r="F106">
        <v>202201</v>
      </c>
      <c r="G106" t="s">
        <v>178</v>
      </c>
      <c r="H106">
        <v>17842</v>
      </c>
      <c r="O106">
        <v>6897</v>
      </c>
      <c r="P106" t="s">
        <v>2364</v>
      </c>
      <c r="Q106">
        <v>5697</v>
      </c>
      <c r="R106" t="s">
        <v>2201</v>
      </c>
      <c r="S106" t="s">
        <v>2359</v>
      </c>
      <c r="T106">
        <v>202204</v>
      </c>
      <c r="U106" t="s">
        <v>178</v>
      </c>
      <c r="V106">
        <v>14500</v>
      </c>
    </row>
    <row r="107" spans="1:22">
      <c r="A107">
        <v>6897</v>
      </c>
      <c r="B107" t="s">
        <v>2364</v>
      </c>
      <c r="C107">
        <v>5697</v>
      </c>
      <c r="D107" t="s">
        <v>2201</v>
      </c>
      <c r="E107" t="s">
        <v>2359</v>
      </c>
      <c r="F107">
        <v>202201</v>
      </c>
      <c r="G107" t="s">
        <v>180</v>
      </c>
      <c r="H107">
        <v>16057</v>
      </c>
      <c r="O107">
        <v>6897</v>
      </c>
      <c r="P107" t="s">
        <v>2364</v>
      </c>
      <c r="Q107">
        <v>5697</v>
      </c>
      <c r="R107" t="s">
        <v>2201</v>
      </c>
      <c r="S107" t="s">
        <v>2359</v>
      </c>
      <c r="T107">
        <v>202204</v>
      </c>
      <c r="U107" t="s">
        <v>180</v>
      </c>
      <c r="V107">
        <v>12500</v>
      </c>
    </row>
    <row r="108" spans="1:22">
      <c r="A108">
        <v>6897</v>
      </c>
      <c r="B108" t="s">
        <v>2364</v>
      </c>
      <c r="C108">
        <v>5697</v>
      </c>
      <c r="D108" t="s">
        <v>2201</v>
      </c>
      <c r="E108" t="s">
        <v>2359</v>
      </c>
      <c r="F108">
        <v>202201</v>
      </c>
      <c r="G108" t="s">
        <v>182</v>
      </c>
      <c r="H108">
        <v>7176428</v>
      </c>
      <c r="O108">
        <v>6897</v>
      </c>
      <c r="P108" t="s">
        <v>2364</v>
      </c>
      <c r="Q108">
        <v>5697</v>
      </c>
      <c r="R108" t="s">
        <v>2201</v>
      </c>
      <c r="S108" t="s">
        <v>2359</v>
      </c>
      <c r="T108">
        <v>202204</v>
      </c>
      <c r="U108" t="s">
        <v>182</v>
      </c>
      <c r="V108">
        <v>5441600</v>
      </c>
    </row>
    <row r="109" spans="1:22">
      <c r="A109">
        <v>6897</v>
      </c>
      <c r="B109" t="s">
        <v>2364</v>
      </c>
      <c r="C109">
        <v>5697</v>
      </c>
      <c r="D109" t="s">
        <v>2201</v>
      </c>
      <c r="E109" t="s">
        <v>2359</v>
      </c>
      <c r="F109">
        <v>202201</v>
      </c>
      <c r="G109" t="s">
        <v>184</v>
      </c>
      <c r="H109">
        <v>881430</v>
      </c>
      <c r="O109">
        <v>6897</v>
      </c>
      <c r="P109" t="s">
        <v>2364</v>
      </c>
      <c r="Q109">
        <v>5697</v>
      </c>
      <c r="R109" t="s">
        <v>2201</v>
      </c>
      <c r="S109" t="s">
        <v>2359</v>
      </c>
      <c r="T109">
        <v>202204</v>
      </c>
      <c r="U109" t="s">
        <v>184</v>
      </c>
      <c r="V109">
        <v>571820</v>
      </c>
    </row>
    <row r="110" spans="1:22">
      <c r="A110">
        <v>6897</v>
      </c>
      <c r="B110" t="s">
        <v>2364</v>
      </c>
      <c r="C110">
        <v>5697</v>
      </c>
      <c r="D110" t="s">
        <v>2201</v>
      </c>
      <c r="E110" t="s">
        <v>2359</v>
      </c>
      <c r="F110">
        <v>202201</v>
      </c>
      <c r="G110" t="s">
        <v>192</v>
      </c>
      <c r="H110">
        <v>0</v>
      </c>
      <c r="O110">
        <v>6897</v>
      </c>
      <c r="P110" t="s">
        <v>2364</v>
      </c>
      <c r="Q110">
        <v>5697</v>
      </c>
      <c r="R110" t="s">
        <v>2201</v>
      </c>
      <c r="S110" t="s">
        <v>2359</v>
      </c>
      <c r="T110">
        <v>202204</v>
      </c>
      <c r="U110" t="s">
        <v>186</v>
      </c>
      <c r="V110">
        <v>123569</v>
      </c>
    </row>
    <row r="111" spans="1:22">
      <c r="A111">
        <v>6897</v>
      </c>
      <c r="B111" t="s">
        <v>2364</v>
      </c>
      <c r="C111">
        <v>5697</v>
      </c>
      <c r="D111" t="s">
        <v>2201</v>
      </c>
      <c r="E111" t="s">
        <v>2359</v>
      </c>
      <c r="F111">
        <v>202201</v>
      </c>
      <c r="G111" t="s">
        <v>2170</v>
      </c>
      <c r="H111">
        <v>78750.12</v>
      </c>
      <c r="O111">
        <v>6897</v>
      </c>
      <c r="P111" t="s">
        <v>2364</v>
      </c>
      <c r="Q111">
        <v>5697</v>
      </c>
      <c r="R111" t="s">
        <v>2201</v>
      </c>
      <c r="S111" t="s">
        <v>2359</v>
      </c>
      <c r="T111">
        <v>202205</v>
      </c>
      <c r="U111" t="s">
        <v>190</v>
      </c>
      <c r="V111">
        <v>665129</v>
      </c>
    </row>
    <row r="112" spans="1:22">
      <c r="A112">
        <v>6897</v>
      </c>
      <c r="B112" t="s">
        <v>2364</v>
      </c>
      <c r="C112">
        <v>5697</v>
      </c>
      <c r="D112" t="s">
        <v>2201</v>
      </c>
      <c r="E112" t="s">
        <v>2359</v>
      </c>
      <c r="F112">
        <v>202201</v>
      </c>
      <c r="G112" t="s">
        <v>186</v>
      </c>
      <c r="H112">
        <v>154859</v>
      </c>
      <c r="O112">
        <v>6897</v>
      </c>
      <c r="P112" t="s">
        <v>2364</v>
      </c>
      <c r="Q112">
        <v>5697</v>
      </c>
      <c r="R112" t="s">
        <v>2201</v>
      </c>
      <c r="S112" t="s">
        <v>2359</v>
      </c>
      <c r="T112">
        <v>202205</v>
      </c>
      <c r="U112" t="s">
        <v>191</v>
      </c>
      <c r="V112">
        <v>97941</v>
      </c>
    </row>
    <row r="113" spans="1:22">
      <c r="A113">
        <v>6897</v>
      </c>
      <c r="B113" t="s">
        <v>2364</v>
      </c>
      <c r="C113">
        <v>5697</v>
      </c>
      <c r="D113" t="s">
        <v>2201</v>
      </c>
      <c r="E113" t="s">
        <v>2359</v>
      </c>
      <c r="F113">
        <v>202201</v>
      </c>
      <c r="G113" t="s">
        <v>2169</v>
      </c>
      <c r="H113">
        <v>142.83000000000001</v>
      </c>
      <c r="O113">
        <v>6897</v>
      </c>
      <c r="P113" t="s">
        <v>2364</v>
      </c>
      <c r="Q113">
        <v>5697</v>
      </c>
      <c r="R113" t="s">
        <v>2201</v>
      </c>
      <c r="S113" t="s">
        <v>2359</v>
      </c>
      <c r="T113">
        <v>202205</v>
      </c>
      <c r="U113" t="s">
        <v>178</v>
      </c>
      <c r="V113">
        <v>2800</v>
      </c>
    </row>
    <row r="114" spans="1:22">
      <c r="A114">
        <v>6897</v>
      </c>
      <c r="B114" t="s">
        <v>2364</v>
      </c>
      <c r="C114">
        <v>5697</v>
      </c>
      <c r="D114" t="s">
        <v>2201</v>
      </c>
      <c r="E114" t="s">
        <v>2359</v>
      </c>
      <c r="F114">
        <v>202201</v>
      </c>
      <c r="G114" t="s">
        <v>2166</v>
      </c>
      <c r="H114">
        <v>11.83</v>
      </c>
      <c r="O114">
        <v>6897</v>
      </c>
      <c r="P114" t="s">
        <v>2364</v>
      </c>
      <c r="Q114">
        <v>5697</v>
      </c>
      <c r="R114" t="s">
        <v>2201</v>
      </c>
      <c r="S114" t="s">
        <v>2359</v>
      </c>
      <c r="T114">
        <v>202205</v>
      </c>
      <c r="U114" t="s">
        <v>180</v>
      </c>
      <c r="V114">
        <v>2990</v>
      </c>
    </row>
    <row r="115" spans="1:22">
      <c r="A115">
        <v>6897</v>
      </c>
      <c r="B115" t="s">
        <v>2364</v>
      </c>
      <c r="C115">
        <v>5697</v>
      </c>
      <c r="D115" t="s">
        <v>2201</v>
      </c>
      <c r="E115" t="s">
        <v>2359</v>
      </c>
      <c r="F115">
        <v>202201</v>
      </c>
      <c r="G115" t="s">
        <v>2167</v>
      </c>
      <c r="H115">
        <v>21.22</v>
      </c>
      <c r="O115">
        <v>6897</v>
      </c>
      <c r="P115" t="s">
        <v>2364</v>
      </c>
      <c r="Q115">
        <v>5697</v>
      </c>
      <c r="R115" t="s">
        <v>2201</v>
      </c>
      <c r="S115" t="s">
        <v>2359</v>
      </c>
      <c r="T115">
        <v>202205</v>
      </c>
      <c r="U115" t="s">
        <v>182</v>
      </c>
      <c r="V115">
        <v>665129</v>
      </c>
    </row>
    <row r="116" spans="1:22">
      <c r="A116">
        <v>6897</v>
      </c>
      <c r="B116" t="s">
        <v>2364</v>
      </c>
      <c r="C116">
        <v>5697</v>
      </c>
      <c r="D116" t="s">
        <v>2201</v>
      </c>
      <c r="E116" t="s">
        <v>2359</v>
      </c>
      <c r="F116">
        <v>202201</v>
      </c>
      <c r="G116" t="s">
        <v>2168</v>
      </c>
      <c r="H116">
        <v>14.37</v>
      </c>
      <c r="O116">
        <v>6897</v>
      </c>
      <c r="P116" t="s">
        <v>2364</v>
      </c>
      <c r="Q116">
        <v>5697</v>
      </c>
      <c r="R116" t="s">
        <v>2201</v>
      </c>
      <c r="S116" t="s">
        <v>2359</v>
      </c>
      <c r="T116">
        <v>202205</v>
      </c>
      <c r="U116" t="s">
        <v>184</v>
      </c>
      <c r="V116">
        <v>97941</v>
      </c>
    </row>
    <row r="117" spans="1:22">
      <c r="A117">
        <v>6897</v>
      </c>
      <c r="B117" t="s">
        <v>2364</v>
      </c>
      <c r="C117">
        <v>5697</v>
      </c>
      <c r="D117" t="s">
        <v>2201</v>
      </c>
      <c r="E117" t="s">
        <v>2359</v>
      </c>
      <c r="F117">
        <v>202201</v>
      </c>
      <c r="G117" t="s">
        <v>2171</v>
      </c>
      <c r="H117">
        <v>2105618.06</v>
      </c>
      <c r="O117">
        <v>6897</v>
      </c>
      <c r="P117" t="s">
        <v>2364</v>
      </c>
      <c r="Q117">
        <v>5697</v>
      </c>
      <c r="R117" t="s">
        <v>2201</v>
      </c>
      <c r="S117" t="s">
        <v>2359</v>
      </c>
      <c r="T117">
        <v>202205</v>
      </c>
      <c r="U117" t="s">
        <v>190</v>
      </c>
      <c r="V117">
        <v>1412529</v>
      </c>
    </row>
    <row r="118" spans="1:22">
      <c r="A118">
        <v>6897</v>
      </c>
      <c r="B118" t="s">
        <v>2364</v>
      </c>
      <c r="C118">
        <v>5697</v>
      </c>
      <c r="D118" t="s">
        <v>2201</v>
      </c>
      <c r="E118" t="s">
        <v>2359</v>
      </c>
      <c r="F118">
        <v>202202</v>
      </c>
      <c r="G118" t="s">
        <v>190</v>
      </c>
      <c r="H118">
        <v>6296272</v>
      </c>
      <c r="O118">
        <v>6897</v>
      </c>
      <c r="P118" t="s">
        <v>2364</v>
      </c>
      <c r="Q118">
        <v>5697</v>
      </c>
      <c r="R118" t="s">
        <v>2201</v>
      </c>
      <c r="S118" t="s">
        <v>2359</v>
      </c>
      <c r="T118">
        <v>202205</v>
      </c>
      <c r="U118" t="s">
        <v>191</v>
      </c>
      <c r="V118">
        <v>136565</v>
      </c>
    </row>
    <row r="119" spans="1:22">
      <c r="A119">
        <v>6897</v>
      </c>
      <c r="B119" t="s">
        <v>2364</v>
      </c>
      <c r="C119">
        <v>5697</v>
      </c>
      <c r="D119" t="s">
        <v>2201</v>
      </c>
      <c r="E119" t="s">
        <v>2359</v>
      </c>
      <c r="F119">
        <v>202202</v>
      </c>
      <c r="G119" t="s">
        <v>191</v>
      </c>
      <c r="H119">
        <v>652968</v>
      </c>
      <c r="O119">
        <v>6897</v>
      </c>
      <c r="P119" t="s">
        <v>2364</v>
      </c>
      <c r="Q119">
        <v>5697</v>
      </c>
      <c r="R119" t="s">
        <v>2201</v>
      </c>
      <c r="S119" t="s">
        <v>2359</v>
      </c>
      <c r="T119">
        <v>202205</v>
      </c>
      <c r="U119" t="s">
        <v>178</v>
      </c>
      <c r="V119">
        <v>3946</v>
      </c>
    </row>
    <row r="120" spans="1:22">
      <c r="A120">
        <v>6897</v>
      </c>
      <c r="B120" t="s">
        <v>2364</v>
      </c>
      <c r="C120">
        <v>5697</v>
      </c>
      <c r="D120" t="s">
        <v>2201</v>
      </c>
      <c r="E120" t="s">
        <v>2359</v>
      </c>
      <c r="F120">
        <v>202202</v>
      </c>
      <c r="G120" t="s">
        <v>176</v>
      </c>
      <c r="H120">
        <v>0</v>
      </c>
      <c r="O120">
        <v>6897</v>
      </c>
      <c r="P120" t="s">
        <v>2364</v>
      </c>
      <c r="Q120">
        <v>5697</v>
      </c>
      <c r="R120" t="s">
        <v>2201</v>
      </c>
      <c r="S120" t="s">
        <v>2359</v>
      </c>
      <c r="T120">
        <v>202205</v>
      </c>
      <c r="U120" t="s">
        <v>180</v>
      </c>
      <c r="V120">
        <v>3586</v>
      </c>
    </row>
    <row r="121" spans="1:22">
      <c r="A121">
        <v>6897</v>
      </c>
      <c r="B121" t="s">
        <v>2364</v>
      </c>
      <c r="C121">
        <v>5697</v>
      </c>
      <c r="D121" t="s">
        <v>2201</v>
      </c>
      <c r="E121" t="s">
        <v>2359</v>
      </c>
      <c r="F121">
        <v>202202</v>
      </c>
      <c r="G121" t="s">
        <v>178</v>
      </c>
      <c r="H121">
        <v>16308</v>
      </c>
      <c r="O121">
        <v>6897</v>
      </c>
      <c r="P121" t="s">
        <v>2364</v>
      </c>
      <c r="Q121">
        <v>5697</v>
      </c>
      <c r="R121" t="s">
        <v>2201</v>
      </c>
      <c r="S121" t="s">
        <v>2359</v>
      </c>
      <c r="T121">
        <v>202205</v>
      </c>
      <c r="U121" t="s">
        <v>182</v>
      </c>
      <c r="V121">
        <v>1412529</v>
      </c>
    </row>
    <row r="122" spans="1:22">
      <c r="A122">
        <v>6897</v>
      </c>
      <c r="B122" t="s">
        <v>2364</v>
      </c>
      <c r="C122">
        <v>5697</v>
      </c>
      <c r="D122" t="s">
        <v>2201</v>
      </c>
      <c r="E122" t="s">
        <v>2359</v>
      </c>
      <c r="F122">
        <v>202202</v>
      </c>
      <c r="G122" t="s">
        <v>180</v>
      </c>
      <c r="H122">
        <v>14377</v>
      </c>
      <c r="O122">
        <v>6897</v>
      </c>
      <c r="P122" t="s">
        <v>2364</v>
      </c>
      <c r="Q122">
        <v>5697</v>
      </c>
      <c r="R122" t="s">
        <v>2201</v>
      </c>
      <c r="S122" t="s">
        <v>2359</v>
      </c>
      <c r="T122">
        <v>202205</v>
      </c>
      <c r="U122" t="s">
        <v>184</v>
      </c>
      <c r="V122">
        <v>136565</v>
      </c>
    </row>
    <row r="123" spans="1:22">
      <c r="A123">
        <v>6897</v>
      </c>
      <c r="B123" t="s">
        <v>2364</v>
      </c>
      <c r="C123">
        <v>5697</v>
      </c>
      <c r="D123" t="s">
        <v>2201</v>
      </c>
      <c r="E123" t="s">
        <v>2359</v>
      </c>
      <c r="F123">
        <v>202202</v>
      </c>
      <c r="G123" t="s">
        <v>182</v>
      </c>
      <c r="H123">
        <v>6410169</v>
      </c>
      <c r="O123">
        <v>6897</v>
      </c>
      <c r="P123" t="s">
        <v>2364</v>
      </c>
      <c r="Q123">
        <v>5697</v>
      </c>
      <c r="R123" t="s">
        <v>2201</v>
      </c>
      <c r="S123" t="s">
        <v>2359</v>
      </c>
      <c r="T123">
        <v>202205</v>
      </c>
      <c r="U123" t="s">
        <v>190</v>
      </c>
      <c r="V123">
        <v>4805325</v>
      </c>
    </row>
    <row r="124" spans="1:22">
      <c r="A124">
        <v>6897</v>
      </c>
      <c r="B124" t="s">
        <v>2364</v>
      </c>
      <c r="C124">
        <v>5697</v>
      </c>
      <c r="D124" t="s">
        <v>2201</v>
      </c>
      <c r="E124" t="s">
        <v>2359</v>
      </c>
      <c r="F124">
        <v>202202</v>
      </c>
      <c r="G124" t="s">
        <v>184</v>
      </c>
      <c r="H124">
        <v>664966</v>
      </c>
      <c r="O124">
        <v>6897</v>
      </c>
      <c r="P124" t="s">
        <v>2364</v>
      </c>
      <c r="Q124">
        <v>5697</v>
      </c>
      <c r="R124" t="s">
        <v>2201</v>
      </c>
      <c r="S124" t="s">
        <v>2359</v>
      </c>
      <c r="T124">
        <v>202205</v>
      </c>
      <c r="U124" t="s">
        <v>191</v>
      </c>
      <c r="V124">
        <v>432059</v>
      </c>
    </row>
    <row r="125" spans="1:22">
      <c r="A125">
        <v>6897</v>
      </c>
      <c r="B125" t="s">
        <v>2364</v>
      </c>
      <c r="C125">
        <v>5697</v>
      </c>
      <c r="D125" t="s">
        <v>2201</v>
      </c>
      <c r="E125" t="s">
        <v>2359</v>
      </c>
      <c r="F125">
        <v>202202</v>
      </c>
      <c r="G125" t="s">
        <v>192</v>
      </c>
      <c r="H125">
        <v>0</v>
      </c>
      <c r="O125">
        <v>6897</v>
      </c>
      <c r="P125" t="s">
        <v>2364</v>
      </c>
      <c r="Q125">
        <v>5697</v>
      </c>
      <c r="R125" t="s">
        <v>2201</v>
      </c>
      <c r="S125" t="s">
        <v>2359</v>
      </c>
      <c r="T125">
        <v>202205</v>
      </c>
      <c r="U125" t="s">
        <v>178</v>
      </c>
      <c r="V125">
        <v>14500</v>
      </c>
    </row>
    <row r="126" spans="1:22">
      <c r="A126">
        <v>6897</v>
      </c>
      <c r="B126" t="s">
        <v>2364</v>
      </c>
      <c r="C126">
        <v>5697</v>
      </c>
      <c r="D126" t="s">
        <v>2201</v>
      </c>
      <c r="E126" t="s">
        <v>2359</v>
      </c>
      <c r="F126">
        <v>202202</v>
      </c>
      <c r="G126" t="s">
        <v>2170</v>
      </c>
      <c r="H126">
        <v>85130.47</v>
      </c>
      <c r="O126">
        <v>6897</v>
      </c>
      <c r="P126" t="s">
        <v>2364</v>
      </c>
      <c r="Q126">
        <v>5697</v>
      </c>
      <c r="R126" t="s">
        <v>2201</v>
      </c>
      <c r="S126" t="s">
        <v>2359</v>
      </c>
      <c r="T126">
        <v>202205</v>
      </c>
      <c r="U126" t="s">
        <v>180</v>
      </c>
      <c r="V126">
        <v>12500</v>
      </c>
    </row>
    <row r="127" spans="1:22">
      <c r="A127">
        <v>6897</v>
      </c>
      <c r="B127" t="s">
        <v>2364</v>
      </c>
      <c r="C127">
        <v>5697</v>
      </c>
      <c r="D127" t="s">
        <v>2201</v>
      </c>
      <c r="E127" t="s">
        <v>2359</v>
      </c>
      <c r="F127">
        <v>202202</v>
      </c>
      <c r="G127" t="s">
        <v>186</v>
      </c>
      <c r="H127">
        <v>127657</v>
      </c>
      <c r="O127">
        <v>6897</v>
      </c>
      <c r="P127" t="s">
        <v>2364</v>
      </c>
      <c r="Q127">
        <v>5697</v>
      </c>
      <c r="R127" t="s">
        <v>2201</v>
      </c>
      <c r="S127" t="s">
        <v>2359</v>
      </c>
      <c r="T127">
        <v>202205</v>
      </c>
      <c r="U127" t="s">
        <v>182</v>
      </c>
      <c r="V127">
        <v>4578329</v>
      </c>
    </row>
    <row r="128" spans="1:22">
      <c r="A128">
        <v>6897</v>
      </c>
      <c r="B128" t="s">
        <v>2364</v>
      </c>
      <c r="C128">
        <v>5697</v>
      </c>
      <c r="D128" t="s">
        <v>2201</v>
      </c>
      <c r="E128" t="s">
        <v>2359</v>
      </c>
      <c r="F128">
        <v>202202</v>
      </c>
      <c r="G128" t="s">
        <v>2169</v>
      </c>
      <c r="H128">
        <v>142.83000000000001</v>
      </c>
      <c r="O128">
        <v>6897</v>
      </c>
      <c r="P128" t="s">
        <v>2364</v>
      </c>
      <c r="Q128">
        <v>5697</v>
      </c>
      <c r="R128" t="s">
        <v>2201</v>
      </c>
      <c r="S128" t="s">
        <v>2359</v>
      </c>
      <c r="T128">
        <v>202205</v>
      </c>
      <c r="U128" t="s">
        <v>184</v>
      </c>
      <c r="V128">
        <v>442538</v>
      </c>
    </row>
    <row r="129" spans="1:22">
      <c r="A129">
        <v>6897</v>
      </c>
      <c r="B129" t="s">
        <v>2364</v>
      </c>
      <c r="C129">
        <v>5697</v>
      </c>
      <c r="D129" t="s">
        <v>2201</v>
      </c>
      <c r="E129" t="s">
        <v>2359</v>
      </c>
      <c r="F129">
        <v>202202</v>
      </c>
      <c r="G129" t="s">
        <v>2166</v>
      </c>
      <c r="H129">
        <v>11.83</v>
      </c>
      <c r="O129">
        <v>6897</v>
      </c>
      <c r="P129" t="s">
        <v>2364</v>
      </c>
      <c r="Q129">
        <v>5697</v>
      </c>
      <c r="R129" t="s">
        <v>2201</v>
      </c>
      <c r="S129" t="s">
        <v>2359</v>
      </c>
      <c r="T129">
        <v>202205</v>
      </c>
      <c r="U129" t="s">
        <v>186</v>
      </c>
      <c r="V129">
        <v>118895</v>
      </c>
    </row>
    <row r="130" spans="1:22">
      <c r="A130">
        <v>6897</v>
      </c>
      <c r="B130" t="s">
        <v>2364</v>
      </c>
      <c r="C130">
        <v>5697</v>
      </c>
      <c r="D130" t="s">
        <v>2201</v>
      </c>
      <c r="E130" t="s">
        <v>2359</v>
      </c>
      <c r="F130">
        <v>202202</v>
      </c>
      <c r="G130" t="s">
        <v>2167</v>
      </c>
      <c r="H130">
        <v>21.22</v>
      </c>
      <c r="O130">
        <v>6897</v>
      </c>
      <c r="P130" t="s">
        <v>2364</v>
      </c>
      <c r="Q130">
        <v>5697</v>
      </c>
      <c r="R130" t="s">
        <v>2201</v>
      </c>
      <c r="S130" t="s">
        <v>2359</v>
      </c>
      <c r="T130">
        <v>202206</v>
      </c>
      <c r="U130" t="s">
        <v>190</v>
      </c>
      <c r="V130">
        <v>670474</v>
      </c>
    </row>
    <row r="131" spans="1:22">
      <c r="A131">
        <v>6897</v>
      </c>
      <c r="B131" t="s">
        <v>2364</v>
      </c>
      <c r="C131">
        <v>5697</v>
      </c>
      <c r="D131" t="s">
        <v>2201</v>
      </c>
      <c r="E131" t="s">
        <v>2359</v>
      </c>
      <c r="F131">
        <v>202202</v>
      </c>
      <c r="G131" t="s">
        <v>2168</v>
      </c>
      <c r="H131">
        <v>14.37</v>
      </c>
      <c r="O131">
        <v>6897</v>
      </c>
      <c r="P131" t="s">
        <v>2364</v>
      </c>
      <c r="Q131">
        <v>5697</v>
      </c>
      <c r="R131" t="s">
        <v>2201</v>
      </c>
      <c r="S131" t="s">
        <v>2359</v>
      </c>
      <c r="T131">
        <v>202206</v>
      </c>
      <c r="U131" t="s">
        <v>191</v>
      </c>
      <c r="V131">
        <v>98986</v>
      </c>
    </row>
    <row r="132" spans="1:22">
      <c r="A132">
        <v>6897</v>
      </c>
      <c r="B132" t="s">
        <v>2364</v>
      </c>
      <c r="C132">
        <v>5697</v>
      </c>
      <c r="D132" t="s">
        <v>2201</v>
      </c>
      <c r="E132" t="s">
        <v>2359</v>
      </c>
      <c r="F132">
        <v>202202</v>
      </c>
      <c r="G132" t="s">
        <v>2171</v>
      </c>
      <c r="H132">
        <v>1799798.27</v>
      </c>
      <c r="O132">
        <v>6897</v>
      </c>
      <c r="P132" t="s">
        <v>2364</v>
      </c>
      <c r="Q132">
        <v>5697</v>
      </c>
      <c r="R132" t="s">
        <v>2201</v>
      </c>
      <c r="S132" t="s">
        <v>2359</v>
      </c>
      <c r="T132">
        <v>202206</v>
      </c>
      <c r="U132" t="s">
        <v>178</v>
      </c>
      <c r="V132">
        <v>2800</v>
      </c>
    </row>
    <row r="133" spans="1:22">
      <c r="A133">
        <v>6897</v>
      </c>
      <c r="B133" t="s">
        <v>2364</v>
      </c>
      <c r="C133">
        <v>5697</v>
      </c>
      <c r="D133" t="s">
        <v>2201</v>
      </c>
      <c r="E133" t="s">
        <v>2359</v>
      </c>
      <c r="F133">
        <v>202202</v>
      </c>
      <c r="G133" t="s">
        <v>190</v>
      </c>
      <c r="H133">
        <v>979949</v>
      </c>
      <c r="O133">
        <v>6897</v>
      </c>
      <c r="P133" t="s">
        <v>2364</v>
      </c>
      <c r="Q133">
        <v>5697</v>
      </c>
      <c r="R133" t="s">
        <v>2201</v>
      </c>
      <c r="S133" t="s">
        <v>2359</v>
      </c>
      <c r="T133">
        <v>202206</v>
      </c>
      <c r="U133" t="s">
        <v>180</v>
      </c>
      <c r="V133">
        <v>2990</v>
      </c>
    </row>
    <row r="134" spans="1:22">
      <c r="A134">
        <v>6897</v>
      </c>
      <c r="B134" t="s">
        <v>2364</v>
      </c>
      <c r="C134">
        <v>5697</v>
      </c>
      <c r="D134" t="s">
        <v>2201</v>
      </c>
      <c r="E134" t="s">
        <v>2359</v>
      </c>
      <c r="F134">
        <v>202202</v>
      </c>
      <c r="G134" t="s">
        <v>191</v>
      </c>
      <c r="H134">
        <v>145434</v>
      </c>
      <c r="O134">
        <v>6897</v>
      </c>
      <c r="P134" t="s">
        <v>2364</v>
      </c>
      <c r="Q134">
        <v>5697</v>
      </c>
      <c r="R134" t="s">
        <v>2201</v>
      </c>
      <c r="S134" t="s">
        <v>2359</v>
      </c>
      <c r="T134">
        <v>202206</v>
      </c>
      <c r="U134" t="s">
        <v>182</v>
      </c>
      <c r="V134">
        <v>670474</v>
      </c>
    </row>
    <row r="135" spans="1:22">
      <c r="A135">
        <v>6897</v>
      </c>
      <c r="B135" t="s">
        <v>2364</v>
      </c>
      <c r="C135">
        <v>5697</v>
      </c>
      <c r="D135" t="s">
        <v>2201</v>
      </c>
      <c r="E135" t="s">
        <v>2359</v>
      </c>
      <c r="F135">
        <v>202202</v>
      </c>
      <c r="G135" t="s">
        <v>176</v>
      </c>
      <c r="H135">
        <v>-21236.880000000001</v>
      </c>
      <c r="O135">
        <v>6897</v>
      </c>
      <c r="P135" t="s">
        <v>2364</v>
      </c>
      <c r="Q135">
        <v>5697</v>
      </c>
      <c r="R135" t="s">
        <v>2201</v>
      </c>
      <c r="S135" t="s">
        <v>2359</v>
      </c>
      <c r="T135">
        <v>202206</v>
      </c>
      <c r="U135" t="s">
        <v>184</v>
      </c>
      <c r="V135">
        <v>98986</v>
      </c>
    </row>
    <row r="136" spans="1:22">
      <c r="A136">
        <v>6897</v>
      </c>
      <c r="B136" t="s">
        <v>2364</v>
      </c>
      <c r="C136">
        <v>5697</v>
      </c>
      <c r="D136" t="s">
        <v>2201</v>
      </c>
      <c r="E136" t="s">
        <v>2359</v>
      </c>
      <c r="F136">
        <v>202202</v>
      </c>
      <c r="G136" t="s">
        <v>178</v>
      </c>
      <c r="H136">
        <v>3162</v>
      </c>
      <c r="O136">
        <v>6897</v>
      </c>
      <c r="P136" t="s">
        <v>2364</v>
      </c>
      <c r="Q136">
        <v>5697</v>
      </c>
      <c r="R136" t="s">
        <v>2201</v>
      </c>
      <c r="S136" t="s">
        <v>2359</v>
      </c>
      <c r="T136">
        <v>202206</v>
      </c>
      <c r="U136" t="s">
        <v>190</v>
      </c>
      <c r="V136">
        <v>1501725</v>
      </c>
    </row>
    <row r="137" spans="1:22">
      <c r="A137">
        <v>6897</v>
      </c>
      <c r="B137" t="s">
        <v>2364</v>
      </c>
      <c r="C137">
        <v>5697</v>
      </c>
      <c r="D137" t="s">
        <v>2201</v>
      </c>
      <c r="E137" t="s">
        <v>2359</v>
      </c>
      <c r="F137">
        <v>202202</v>
      </c>
      <c r="G137" t="s">
        <v>180</v>
      </c>
      <c r="H137">
        <v>3162</v>
      </c>
      <c r="O137">
        <v>6897</v>
      </c>
      <c r="P137" t="s">
        <v>2364</v>
      </c>
      <c r="Q137">
        <v>5697</v>
      </c>
      <c r="R137" t="s">
        <v>2201</v>
      </c>
      <c r="S137" t="s">
        <v>2359</v>
      </c>
      <c r="T137">
        <v>202206</v>
      </c>
      <c r="U137" t="s">
        <v>191</v>
      </c>
      <c r="V137">
        <v>162784</v>
      </c>
    </row>
    <row r="138" spans="1:22">
      <c r="A138">
        <v>6897</v>
      </c>
      <c r="B138" t="s">
        <v>2364</v>
      </c>
      <c r="C138">
        <v>5697</v>
      </c>
      <c r="D138" t="s">
        <v>2201</v>
      </c>
      <c r="E138" t="s">
        <v>2359</v>
      </c>
      <c r="F138">
        <v>202202</v>
      </c>
      <c r="G138" t="s">
        <v>182</v>
      </c>
      <c r="H138">
        <v>979949</v>
      </c>
      <c r="O138">
        <v>6897</v>
      </c>
      <c r="P138" t="s">
        <v>2364</v>
      </c>
      <c r="Q138">
        <v>5697</v>
      </c>
      <c r="R138" t="s">
        <v>2201</v>
      </c>
      <c r="S138" t="s">
        <v>2359</v>
      </c>
      <c r="T138">
        <v>202206</v>
      </c>
      <c r="U138" t="s">
        <v>178</v>
      </c>
      <c r="V138">
        <v>4170</v>
      </c>
    </row>
    <row r="139" spans="1:22">
      <c r="A139">
        <v>6897</v>
      </c>
      <c r="B139" t="s">
        <v>2364</v>
      </c>
      <c r="C139">
        <v>5697</v>
      </c>
      <c r="D139" t="s">
        <v>2201</v>
      </c>
      <c r="E139" t="s">
        <v>2359</v>
      </c>
      <c r="F139">
        <v>202202</v>
      </c>
      <c r="G139" t="s">
        <v>184</v>
      </c>
      <c r="H139">
        <v>145434</v>
      </c>
      <c r="O139">
        <v>6897</v>
      </c>
      <c r="P139" t="s">
        <v>2364</v>
      </c>
      <c r="Q139">
        <v>5697</v>
      </c>
      <c r="R139" t="s">
        <v>2201</v>
      </c>
      <c r="S139" t="s">
        <v>2359</v>
      </c>
      <c r="T139">
        <v>202206</v>
      </c>
      <c r="U139" t="s">
        <v>180</v>
      </c>
      <c r="V139">
        <v>3525</v>
      </c>
    </row>
    <row r="140" spans="1:22">
      <c r="A140">
        <v>6897</v>
      </c>
      <c r="B140" t="s">
        <v>2364</v>
      </c>
      <c r="C140">
        <v>5697</v>
      </c>
      <c r="D140" t="s">
        <v>2201</v>
      </c>
      <c r="E140" t="s">
        <v>2359</v>
      </c>
      <c r="F140">
        <v>202202</v>
      </c>
      <c r="G140" t="s">
        <v>192</v>
      </c>
      <c r="H140">
        <v>0</v>
      </c>
      <c r="O140">
        <v>6897</v>
      </c>
      <c r="P140" t="s">
        <v>2364</v>
      </c>
      <c r="Q140">
        <v>5697</v>
      </c>
      <c r="R140" t="s">
        <v>2201</v>
      </c>
      <c r="S140" t="s">
        <v>2359</v>
      </c>
      <c r="T140">
        <v>202206</v>
      </c>
      <c r="U140" t="s">
        <v>182</v>
      </c>
      <c r="V140">
        <v>1501725</v>
      </c>
    </row>
    <row r="141" spans="1:22">
      <c r="A141">
        <v>6897</v>
      </c>
      <c r="B141" t="s">
        <v>2364</v>
      </c>
      <c r="C141">
        <v>5697</v>
      </c>
      <c r="D141" t="s">
        <v>2201</v>
      </c>
      <c r="E141" t="s">
        <v>2359</v>
      </c>
      <c r="F141">
        <v>202202</v>
      </c>
      <c r="G141" t="s">
        <v>2170</v>
      </c>
      <c r="H141">
        <v>14760.59</v>
      </c>
      <c r="O141">
        <v>6897</v>
      </c>
      <c r="P141" t="s">
        <v>2364</v>
      </c>
      <c r="Q141">
        <v>5697</v>
      </c>
      <c r="R141" t="s">
        <v>2201</v>
      </c>
      <c r="S141" t="s">
        <v>2359</v>
      </c>
      <c r="T141">
        <v>202206</v>
      </c>
      <c r="U141" t="s">
        <v>184</v>
      </c>
      <c r="V141">
        <v>162784</v>
      </c>
    </row>
    <row r="142" spans="1:22">
      <c r="A142">
        <v>6897</v>
      </c>
      <c r="B142" t="s">
        <v>2364</v>
      </c>
      <c r="C142">
        <v>5697</v>
      </c>
      <c r="D142" t="s">
        <v>2201</v>
      </c>
      <c r="E142" t="s">
        <v>2359</v>
      </c>
      <c r="F142">
        <v>202202</v>
      </c>
      <c r="G142" t="s">
        <v>2169</v>
      </c>
      <c r="H142">
        <v>142.83000000000001</v>
      </c>
      <c r="O142">
        <v>6897</v>
      </c>
      <c r="P142" t="s">
        <v>2364</v>
      </c>
      <c r="Q142">
        <v>5697</v>
      </c>
      <c r="R142" t="s">
        <v>2201</v>
      </c>
      <c r="S142" t="s">
        <v>2359</v>
      </c>
      <c r="T142">
        <v>202206</v>
      </c>
      <c r="U142" t="s">
        <v>190</v>
      </c>
      <c r="V142">
        <v>5114360</v>
      </c>
    </row>
    <row r="143" spans="1:22">
      <c r="A143">
        <v>6897</v>
      </c>
      <c r="B143" t="s">
        <v>2364</v>
      </c>
      <c r="C143">
        <v>5697</v>
      </c>
      <c r="D143" t="s">
        <v>2201</v>
      </c>
      <c r="E143" t="s">
        <v>2359</v>
      </c>
      <c r="F143">
        <v>202202</v>
      </c>
      <c r="G143" t="s">
        <v>2166</v>
      </c>
      <c r="H143">
        <v>11.83</v>
      </c>
      <c r="O143">
        <v>6897</v>
      </c>
      <c r="P143" t="s">
        <v>2364</v>
      </c>
      <c r="Q143">
        <v>5697</v>
      </c>
      <c r="R143" t="s">
        <v>2201</v>
      </c>
      <c r="S143" t="s">
        <v>2359</v>
      </c>
      <c r="T143">
        <v>202206</v>
      </c>
      <c r="U143" t="s">
        <v>191</v>
      </c>
      <c r="V143">
        <v>527667</v>
      </c>
    </row>
    <row r="144" spans="1:22">
      <c r="A144">
        <v>6897</v>
      </c>
      <c r="B144" t="s">
        <v>2364</v>
      </c>
      <c r="C144">
        <v>5697</v>
      </c>
      <c r="D144" t="s">
        <v>2201</v>
      </c>
      <c r="E144" t="s">
        <v>2359</v>
      </c>
      <c r="F144">
        <v>202202</v>
      </c>
      <c r="G144" t="s">
        <v>2167</v>
      </c>
      <c r="H144">
        <v>21.22</v>
      </c>
      <c r="O144">
        <v>6897</v>
      </c>
      <c r="P144" t="s">
        <v>2364</v>
      </c>
      <c r="Q144">
        <v>5697</v>
      </c>
      <c r="R144" t="s">
        <v>2201</v>
      </c>
      <c r="S144" t="s">
        <v>2359</v>
      </c>
      <c r="T144">
        <v>202206</v>
      </c>
      <c r="U144" t="s">
        <v>178</v>
      </c>
      <c r="V144">
        <v>14500</v>
      </c>
    </row>
    <row r="145" spans="1:22">
      <c r="A145">
        <v>6897</v>
      </c>
      <c r="B145" t="s">
        <v>2364</v>
      </c>
      <c r="C145">
        <v>5697</v>
      </c>
      <c r="D145" t="s">
        <v>2201</v>
      </c>
      <c r="E145" t="s">
        <v>2359</v>
      </c>
      <c r="F145">
        <v>202202</v>
      </c>
      <c r="G145" t="s">
        <v>2168</v>
      </c>
      <c r="H145">
        <v>14.37</v>
      </c>
      <c r="O145">
        <v>6897</v>
      </c>
      <c r="P145" t="s">
        <v>2364</v>
      </c>
      <c r="Q145">
        <v>5697</v>
      </c>
      <c r="R145" t="s">
        <v>2201</v>
      </c>
      <c r="S145" t="s">
        <v>2359</v>
      </c>
      <c r="T145">
        <v>202206</v>
      </c>
      <c r="U145" t="s">
        <v>180</v>
      </c>
      <c r="V145">
        <v>12500</v>
      </c>
    </row>
    <row r="146" spans="1:22">
      <c r="A146">
        <v>6897</v>
      </c>
      <c r="B146" t="s">
        <v>2364</v>
      </c>
      <c r="C146">
        <v>5697</v>
      </c>
      <c r="D146" t="s">
        <v>2201</v>
      </c>
      <c r="E146" t="s">
        <v>2359</v>
      </c>
      <c r="F146">
        <v>202202</v>
      </c>
      <c r="G146" t="s">
        <v>2171</v>
      </c>
      <c r="H146">
        <v>290826.36</v>
      </c>
      <c r="O146">
        <v>6897</v>
      </c>
      <c r="P146" t="s">
        <v>2364</v>
      </c>
      <c r="Q146">
        <v>5697</v>
      </c>
      <c r="R146" t="s">
        <v>2201</v>
      </c>
      <c r="S146" t="s">
        <v>2359</v>
      </c>
      <c r="T146">
        <v>202206</v>
      </c>
      <c r="U146" t="s">
        <v>182</v>
      </c>
      <c r="V146">
        <v>4928777</v>
      </c>
    </row>
    <row r="147" spans="1:22">
      <c r="A147">
        <v>6897</v>
      </c>
      <c r="B147" t="s">
        <v>2364</v>
      </c>
      <c r="C147">
        <v>5697</v>
      </c>
      <c r="D147" t="s">
        <v>2201</v>
      </c>
      <c r="E147" t="s">
        <v>2359</v>
      </c>
      <c r="F147">
        <v>202203</v>
      </c>
      <c r="G147" t="s">
        <v>190</v>
      </c>
      <c r="H147">
        <v>5379091</v>
      </c>
      <c r="O147">
        <v>6897</v>
      </c>
      <c r="P147" t="s">
        <v>2364</v>
      </c>
      <c r="Q147">
        <v>5697</v>
      </c>
      <c r="R147" t="s">
        <v>2201</v>
      </c>
      <c r="S147" t="s">
        <v>2359</v>
      </c>
      <c r="T147">
        <v>202206</v>
      </c>
      <c r="U147" t="s">
        <v>184</v>
      </c>
      <c r="V147">
        <v>541007</v>
      </c>
    </row>
    <row r="148" spans="1:22">
      <c r="A148">
        <v>6897</v>
      </c>
      <c r="B148" t="s">
        <v>2364</v>
      </c>
      <c r="C148">
        <v>5697</v>
      </c>
      <c r="D148" t="s">
        <v>2201</v>
      </c>
      <c r="E148" t="s">
        <v>2359</v>
      </c>
      <c r="F148">
        <v>202203</v>
      </c>
      <c r="G148" t="s">
        <v>191</v>
      </c>
      <c r="H148">
        <v>600423</v>
      </c>
      <c r="O148">
        <v>6897</v>
      </c>
      <c r="P148" t="s">
        <v>2364</v>
      </c>
      <c r="Q148">
        <v>5697</v>
      </c>
      <c r="R148" t="s">
        <v>2201</v>
      </c>
      <c r="S148" t="s">
        <v>2359</v>
      </c>
      <c r="T148">
        <v>202206</v>
      </c>
      <c r="U148" t="s">
        <v>186</v>
      </c>
      <c r="V148">
        <v>134868</v>
      </c>
    </row>
    <row r="149" spans="1:22">
      <c r="A149">
        <v>6897</v>
      </c>
      <c r="B149" t="s">
        <v>2364</v>
      </c>
      <c r="C149">
        <v>5697</v>
      </c>
      <c r="D149" t="s">
        <v>2201</v>
      </c>
      <c r="E149" t="s">
        <v>2359</v>
      </c>
      <c r="F149">
        <v>202203</v>
      </c>
      <c r="G149" t="s">
        <v>176</v>
      </c>
      <c r="H149">
        <v>0</v>
      </c>
      <c r="O149">
        <v>6897</v>
      </c>
      <c r="P149" t="s">
        <v>2364</v>
      </c>
      <c r="Q149">
        <v>5697</v>
      </c>
      <c r="R149" t="s">
        <v>2201</v>
      </c>
      <c r="S149" t="s">
        <v>2359</v>
      </c>
      <c r="T149">
        <v>202207</v>
      </c>
      <c r="U149" t="s">
        <v>190</v>
      </c>
      <c r="V149">
        <v>704668</v>
      </c>
    </row>
    <row r="150" spans="1:22">
      <c r="A150">
        <v>6897</v>
      </c>
      <c r="B150" t="s">
        <v>2364</v>
      </c>
      <c r="C150">
        <v>5697</v>
      </c>
      <c r="D150" t="s">
        <v>2201</v>
      </c>
      <c r="E150" t="s">
        <v>2359</v>
      </c>
      <c r="F150">
        <v>202203</v>
      </c>
      <c r="G150" t="s">
        <v>178</v>
      </c>
      <c r="H150">
        <v>15733</v>
      </c>
      <c r="O150">
        <v>6897</v>
      </c>
      <c r="P150" t="s">
        <v>2364</v>
      </c>
      <c r="Q150">
        <v>5697</v>
      </c>
      <c r="R150" t="s">
        <v>2201</v>
      </c>
      <c r="S150" t="s">
        <v>2359</v>
      </c>
      <c r="T150">
        <v>202207</v>
      </c>
      <c r="U150" t="s">
        <v>191</v>
      </c>
      <c r="V150">
        <v>110096</v>
      </c>
    </row>
    <row r="151" spans="1:22">
      <c r="A151">
        <v>6897</v>
      </c>
      <c r="B151" t="s">
        <v>2364</v>
      </c>
      <c r="C151">
        <v>5697</v>
      </c>
      <c r="D151" t="s">
        <v>2201</v>
      </c>
      <c r="E151" t="s">
        <v>2359</v>
      </c>
      <c r="F151">
        <v>202203</v>
      </c>
      <c r="G151" t="s">
        <v>180</v>
      </c>
      <c r="H151">
        <v>13409</v>
      </c>
      <c r="O151">
        <v>6897</v>
      </c>
      <c r="P151" t="s">
        <v>2364</v>
      </c>
      <c r="Q151">
        <v>5697</v>
      </c>
      <c r="R151" t="s">
        <v>2201</v>
      </c>
      <c r="S151" t="s">
        <v>2359</v>
      </c>
      <c r="T151">
        <v>202207</v>
      </c>
      <c r="U151" t="s">
        <v>178</v>
      </c>
      <c r="V151">
        <v>2800</v>
      </c>
    </row>
    <row r="152" spans="1:22">
      <c r="A152">
        <v>6897</v>
      </c>
      <c r="B152" t="s">
        <v>2364</v>
      </c>
      <c r="C152">
        <v>5697</v>
      </c>
      <c r="D152" t="s">
        <v>2201</v>
      </c>
      <c r="E152" t="s">
        <v>2359</v>
      </c>
      <c r="F152">
        <v>202203</v>
      </c>
      <c r="G152" t="s">
        <v>182</v>
      </c>
      <c r="H152">
        <v>5478590</v>
      </c>
      <c r="O152">
        <v>6897</v>
      </c>
      <c r="P152" t="s">
        <v>2364</v>
      </c>
      <c r="Q152">
        <v>5697</v>
      </c>
      <c r="R152" t="s">
        <v>2201</v>
      </c>
      <c r="S152" t="s">
        <v>2359</v>
      </c>
      <c r="T152">
        <v>202207</v>
      </c>
      <c r="U152" t="s">
        <v>180</v>
      </c>
      <c r="V152">
        <v>2990</v>
      </c>
    </row>
    <row r="153" spans="1:22">
      <c r="A153">
        <v>6897</v>
      </c>
      <c r="B153" t="s">
        <v>2364</v>
      </c>
      <c r="C153">
        <v>5697</v>
      </c>
      <c r="D153" t="s">
        <v>2201</v>
      </c>
      <c r="E153" t="s">
        <v>2359</v>
      </c>
      <c r="F153">
        <v>202203</v>
      </c>
      <c r="G153" t="s">
        <v>184</v>
      </c>
      <c r="H153">
        <v>611910</v>
      </c>
      <c r="O153">
        <v>6897</v>
      </c>
      <c r="P153" t="s">
        <v>2364</v>
      </c>
      <c r="Q153">
        <v>5697</v>
      </c>
      <c r="R153" t="s">
        <v>2201</v>
      </c>
      <c r="S153" t="s">
        <v>2359</v>
      </c>
      <c r="T153">
        <v>202207</v>
      </c>
      <c r="U153" t="s">
        <v>182</v>
      </c>
      <c r="V153">
        <v>704668</v>
      </c>
    </row>
    <row r="154" spans="1:22">
      <c r="A154">
        <v>6897</v>
      </c>
      <c r="B154" t="s">
        <v>2364</v>
      </c>
      <c r="C154">
        <v>5697</v>
      </c>
      <c r="D154" t="s">
        <v>2201</v>
      </c>
      <c r="E154" t="s">
        <v>2359</v>
      </c>
      <c r="F154">
        <v>202203</v>
      </c>
      <c r="G154" t="s">
        <v>192</v>
      </c>
      <c r="H154">
        <v>0</v>
      </c>
      <c r="O154">
        <v>6897</v>
      </c>
      <c r="P154" t="s">
        <v>2364</v>
      </c>
      <c r="Q154">
        <v>5697</v>
      </c>
      <c r="R154" t="s">
        <v>2201</v>
      </c>
      <c r="S154" t="s">
        <v>2359</v>
      </c>
      <c r="T154">
        <v>202207</v>
      </c>
      <c r="U154" t="s">
        <v>184</v>
      </c>
      <c r="V154">
        <v>110096</v>
      </c>
    </row>
    <row r="155" spans="1:22">
      <c r="A155">
        <v>6897</v>
      </c>
      <c r="B155" t="s">
        <v>2364</v>
      </c>
      <c r="C155">
        <v>5697</v>
      </c>
      <c r="D155" t="s">
        <v>2201</v>
      </c>
      <c r="E155" t="s">
        <v>2359</v>
      </c>
      <c r="F155">
        <v>202203</v>
      </c>
      <c r="G155" t="s">
        <v>2170</v>
      </c>
      <c r="H155">
        <v>41579.39</v>
      </c>
      <c r="O155">
        <v>6897</v>
      </c>
      <c r="P155" t="s">
        <v>2364</v>
      </c>
      <c r="Q155">
        <v>5697</v>
      </c>
      <c r="R155" t="s">
        <v>2201</v>
      </c>
      <c r="S155" t="s">
        <v>2359</v>
      </c>
      <c r="T155">
        <v>202207</v>
      </c>
      <c r="U155" t="s">
        <v>190</v>
      </c>
      <c r="V155">
        <v>5050965</v>
      </c>
    </row>
    <row r="156" spans="1:22">
      <c r="A156">
        <v>6897</v>
      </c>
      <c r="B156" t="s">
        <v>2364</v>
      </c>
      <c r="C156">
        <v>5697</v>
      </c>
      <c r="D156" t="s">
        <v>2201</v>
      </c>
      <c r="E156" t="s">
        <v>2359</v>
      </c>
      <c r="F156">
        <v>202203</v>
      </c>
      <c r="G156" t="s">
        <v>186</v>
      </c>
      <c r="H156">
        <v>114332</v>
      </c>
      <c r="O156">
        <v>6897</v>
      </c>
      <c r="P156" t="s">
        <v>2364</v>
      </c>
      <c r="Q156">
        <v>5697</v>
      </c>
      <c r="R156" t="s">
        <v>2201</v>
      </c>
      <c r="S156" t="s">
        <v>2359</v>
      </c>
      <c r="T156">
        <v>202207</v>
      </c>
      <c r="U156" t="s">
        <v>191</v>
      </c>
      <c r="V156">
        <v>523990</v>
      </c>
    </row>
    <row r="157" spans="1:22">
      <c r="A157">
        <v>6897</v>
      </c>
      <c r="B157" t="s">
        <v>2364</v>
      </c>
      <c r="C157">
        <v>5697</v>
      </c>
      <c r="D157" t="s">
        <v>2201</v>
      </c>
      <c r="E157" t="s">
        <v>2359</v>
      </c>
      <c r="F157">
        <v>202203</v>
      </c>
      <c r="G157" t="s">
        <v>2169</v>
      </c>
      <c r="H157">
        <v>142.83000000000001</v>
      </c>
      <c r="O157">
        <v>6897</v>
      </c>
      <c r="P157" t="s">
        <v>2364</v>
      </c>
      <c r="Q157">
        <v>5697</v>
      </c>
      <c r="R157" t="s">
        <v>2201</v>
      </c>
      <c r="S157" t="s">
        <v>2359</v>
      </c>
      <c r="T157">
        <v>202207</v>
      </c>
      <c r="U157" t="s">
        <v>178</v>
      </c>
      <c r="V157">
        <v>14500</v>
      </c>
    </row>
    <row r="158" spans="1:22">
      <c r="A158">
        <v>6897</v>
      </c>
      <c r="B158" t="s">
        <v>2364</v>
      </c>
      <c r="C158">
        <v>5697</v>
      </c>
      <c r="D158" t="s">
        <v>2201</v>
      </c>
      <c r="E158" t="s">
        <v>2359</v>
      </c>
      <c r="F158">
        <v>202203</v>
      </c>
      <c r="G158" t="s">
        <v>2166</v>
      </c>
      <c r="H158">
        <v>11.83</v>
      </c>
      <c r="O158">
        <v>6897</v>
      </c>
      <c r="P158" t="s">
        <v>2364</v>
      </c>
      <c r="Q158">
        <v>5697</v>
      </c>
      <c r="R158" t="s">
        <v>2201</v>
      </c>
      <c r="S158" t="s">
        <v>2359</v>
      </c>
      <c r="T158">
        <v>202207</v>
      </c>
      <c r="U158" t="s">
        <v>180</v>
      </c>
      <c r="V158">
        <v>12500</v>
      </c>
    </row>
    <row r="159" spans="1:22">
      <c r="A159">
        <v>6897</v>
      </c>
      <c r="B159" t="s">
        <v>2364</v>
      </c>
      <c r="C159">
        <v>5697</v>
      </c>
      <c r="D159" t="s">
        <v>2201</v>
      </c>
      <c r="E159" t="s">
        <v>2359</v>
      </c>
      <c r="F159">
        <v>202203</v>
      </c>
      <c r="G159" t="s">
        <v>2167</v>
      </c>
      <c r="H159">
        <v>21.22</v>
      </c>
      <c r="O159">
        <v>6897</v>
      </c>
      <c r="P159" t="s">
        <v>2364</v>
      </c>
      <c r="Q159">
        <v>5697</v>
      </c>
      <c r="R159" t="s">
        <v>2201</v>
      </c>
      <c r="S159" t="s">
        <v>2359</v>
      </c>
      <c r="T159">
        <v>202207</v>
      </c>
      <c r="U159" t="s">
        <v>182</v>
      </c>
      <c r="V159">
        <v>4838280</v>
      </c>
    </row>
    <row r="160" spans="1:22">
      <c r="A160">
        <v>6897</v>
      </c>
      <c r="B160" t="s">
        <v>2364</v>
      </c>
      <c r="C160">
        <v>5697</v>
      </c>
      <c r="D160" t="s">
        <v>2201</v>
      </c>
      <c r="E160" t="s">
        <v>2359</v>
      </c>
      <c r="F160">
        <v>202203</v>
      </c>
      <c r="G160" t="s">
        <v>2168</v>
      </c>
      <c r="H160">
        <v>14.37</v>
      </c>
      <c r="O160">
        <v>6897</v>
      </c>
      <c r="P160" t="s">
        <v>2364</v>
      </c>
      <c r="Q160">
        <v>5697</v>
      </c>
      <c r="R160" t="s">
        <v>2201</v>
      </c>
      <c r="S160" t="s">
        <v>2359</v>
      </c>
      <c r="T160">
        <v>202207</v>
      </c>
      <c r="U160" t="s">
        <v>184</v>
      </c>
      <c r="V160">
        <v>537468</v>
      </c>
    </row>
    <row r="161" spans="1:22">
      <c r="A161">
        <v>6897</v>
      </c>
      <c r="B161" t="s">
        <v>2364</v>
      </c>
      <c r="C161">
        <v>5697</v>
      </c>
      <c r="D161" t="s">
        <v>2201</v>
      </c>
      <c r="E161" t="s">
        <v>2359</v>
      </c>
      <c r="F161">
        <v>202203</v>
      </c>
      <c r="G161" t="s">
        <v>2171</v>
      </c>
      <c r="H161">
        <v>1453825.34</v>
      </c>
      <c r="O161">
        <v>6897</v>
      </c>
      <c r="P161" t="s">
        <v>2364</v>
      </c>
      <c r="Q161">
        <v>5697</v>
      </c>
      <c r="R161" t="s">
        <v>2201</v>
      </c>
      <c r="S161" t="s">
        <v>2359</v>
      </c>
      <c r="T161">
        <v>202207</v>
      </c>
      <c r="U161" t="s">
        <v>186</v>
      </c>
      <c r="V161">
        <v>134775</v>
      </c>
    </row>
    <row r="162" spans="1:22">
      <c r="A162">
        <v>6897</v>
      </c>
      <c r="B162" t="s">
        <v>2364</v>
      </c>
      <c r="C162">
        <v>5697</v>
      </c>
      <c r="D162" t="s">
        <v>2201</v>
      </c>
      <c r="E162" t="s">
        <v>2359</v>
      </c>
      <c r="F162">
        <v>202203</v>
      </c>
      <c r="G162" t="s">
        <v>190</v>
      </c>
      <c r="H162">
        <v>1251396</v>
      </c>
      <c r="O162">
        <v>6897</v>
      </c>
      <c r="P162" t="s">
        <v>2364</v>
      </c>
      <c r="Q162">
        <v>5697</v>
      </c>
      <c r="R162" t="s">
        <v>2201</v>
      </c>
      <c r="S162" t="s">
        <v>2359</v>
      </c>
      <c r="T162">
        <v>202207</v>
      </c>
      <c r="U162" t="s">
        <v>190</v>
      </c>
      <c r="V162">
        <v>1553914</v>
      </c>
    </row>
    <row r="163" spans="1:22">
      <c r="A163">
        <v>6897</v>
      </c>
      <c r="B163" t="s">
        <v>2364</v>
      </c>
      <c r="C163">
        <v>5697</v>
      </c>
      <c r="D163" t="s">
        <v>2201</v>
      </c>
      <c r="E163" t="s">
        <v>2359</v>
      </c>
      <c r="F163">
        <v>202203</v>
      </c>
      <c r="G163" t="s">
        <v>191</v>
      </c>
      <c r="H163">
        <v>149222</v>
      </c>
      <c r="O163">
        <v>6897</v>
      </c>
      <c r="P163" t="s">
        <v>2364</v>
      </c>
      <c r="Q163">
        <v>5697</v>
      </c>
      <c r="R163" t="s">
        <v>2201</v>
      </c>
      <c r="S163" t="s">
        <v>2359</v>
      </c>
      <c r="T163">
        <v>202207</v>
      </c>
      <c r="U163" t="s">
        <v>191</v>
      </c>
      <c r="V163">
        <v>148143</v>
      </c>
    </row>
    <row r="164" spans="1:22">
      <c r="A164">
        <v>6897</v>
      </c>
      <c r="B164" t="s">
        <v>2364</v>
      </c>
      <c r="C164">
        <v>5697</v>
      </c>
      <c r="D164" t="s">
        <v>2201</v>
      </c>
      <c r="E164" t="s">
        <v>2359</v>
      </c>
      <c r="F164">
        <v>202203</v>
      </c>
      <c r="G164" t="s">
        <v>176</v>
      </c>
      <c r="H164">
        <v>0</v>
      </c>
      <c r="O164">
        <v>6897</v>
      </c>
      <c r="P164" t="s">
        <v>2364</v>
      </c>
      <c r="Q164">
        <v>5697</v>
      </c>
      <c r="R164" t="s">
        <v>2201</v>
      </c>
      <c r="S164" t="s">
        <v>2359</v>
      </c>
      <c r="T164">
        <v>202207</v>
      </c>
      <c r="U164" t="s">
        <v>178</v>
      </c>
      <c r="V164">
        <v>4360</v>
      </c>
    </row>
    <row r="165" spans="1:22">
      <c r="A165">
        <v>6897</v>
      </c>
      <c r="B165" t="s">
        <v>2364</v>
      </c>
      <c r="C165">
        <v>5697</v>
      </c>
      <c r="D165" t="s">
        <v>2201</v>
      </c>
      <c r="E165" t="s">
        <v>2359</v>
      </c>
      <c r="F165">
        <v>202203</v>
      </c>
      <c r="G165" t="s">
        <v>178</v>
      </c>
      <c r="H165">
        <v>4303</v>
      </c>
      <c r="O165">
        <v>6897</v>
      </c>
      <c r="P165" t="s">
        <v>2364</v>
      </c>
      <c r="Q165">
        <v>5697</v>
      </c>
      <c r="R165" t="s">
        <v>2201</v>
      </c>
      <c r="S165" t="s">
        <v>2359</v>
      </c>
      <c r="T165">
        <v>202207</v>
      </c>
      <c r="U165" t="s">
        <v>180</v>
      </c>
      <c r="V165">
        <v>3246</v>
      </c>
    </row>
    <row r="166" spans="1:22">
      <c r="A166">
        <v>6897</v>
      </c>
      <c r="B166" t="s">
        <v>2364</v>
      </c>
      <c r="C166">
        <v>5697</v>
      </c>
      <c r="D166" t="s">
        <v>2201</v>
      </c>
      <c r="E166" t="s">
        <v>2359</v>
      </c>
      <c r="F166">
        <v>202203</v>
      </c>
      <c r="G166" t="s">
        <v>180</v>
      </c>
      <c r="H166">
        <v>3450</v>
      </c>
      <c r="O166">
        <v>6897</v>
      </c>
      <c r="P166" t="s">
        <v>2364</v>
      </c>
      <c r="Q166">
        <v>5697</v>
      </c>
      <c r="R166" t="s">
        <v>2201</v>
      </c>
      <c r="S166" t="s">
        <v>2359</v>
      </c>
      <c r="T166">
        <v>202207</v>
      </c>
      <c r="U166" t="s">
        <v>182</v>
      </c>
      <c r="V166">
        <v>1553914</v>
      </c>
    </row>
    <row r="167" spans="1:22">
      <c r="A167">
        <v>6897</v>
      </c>
      <c r="B167" t="s">
        <v>2364</v>
      </c>
      <c r="C167">
        <v>5697</v>
      </c>
      <c r="D167" t="s">
        <v>2201</v>
      </c>
      <c r="E167" t="s">
        <v>2359</v>
      </c>
      <c r="F167">
        <v>202203</v>
      </c>
      <c r="G167" t="s">
        <v>182</v>
      </c>
      <c r="H167">
        <v>1251396</v>
      </c>
      <c r="O167">
        <v>6897</v>
      </c>
      <c r="P167" t="s">
        <v>2364</v>
      </c>
      <c r="Q167">
        <v>5697</v>
      </c>
      <c r="R167" t="s">
        <v>2201</v>
      </c>
      <c r="S167" t="s">
        <v>2359</v>
      </c>
      <c r="T167">
        <v>202207</v>
      </c>
      <c r="U167" t="s">
        <v>184</v>
      </c>
      <c r="V167">
        <v>148143</v>
      </c>
    </row>
    <row r="168" spans="1:22">
      <c r="A168">
        <v>6897</v>
      </c>
      <c r="B168" t="s">
        <v>2364</v>
      </c>
      <c r="C168">
        <v>5697</v>
      </c>
      <c r="D168" t="s">
        <v>2201</v>
      </c>
      <c r="E168" t="s">
        <v>2359</v>
      </c>
      <c r="F168">
        <v>202203</v>
      </c>
      <c r="G168" t="s">
        <v>184</v>
      </c>
      <c r="H168">
        <v>149222</v>
      </c>
      <c r="O168">
        <v>6897</v>
      </c>
      <c r="P168" t="s">
        <v>2364</v>
      </c>
      <c r="Q168">
        <v>5697</v>
      </c>
      <c r="R168" t="s">
        <v>2201</v>
      </c>
      <c r="S168" t="s">
        <v>2359</v>
      </c>
      <c r="T168">
        <v>202208</v>
      </c>
      <c r="U168" t="s">
        <v>190</v>
      </c>
      <c r="V168">
        <v>1454204</v>
      </c>
    </row>
    <row r="169" spans="1:22">
      <c r="A169">
        <v>6897</v>
      </c>
      <c r="B169" t="s">
        <v>2364</v>
      </c>
      <c r="C169">
        <v>5697</v>
      </c>
      <c r="D169" t="s">
        <v>2201</v>
      </c>
      <c r="E169" t="s">
        <v>2359</v>
      </c>
      <c r="F169">
        <v>202203</v>
      </c>
      <c r="G169" t="s">
        <v>192</v>
      </c>
      <c r="H169">
        <v>0</v>
      </c>
      <c r="O169">
        <v>6897</v>
      </c>
      <c r="P169" t="s">
        <v>2364</v>
      </c>
      <c r="Q169">
        <v>5697</v>
      </c>
      <c r="R169" t="s">
        <v>2201</v>
      </c>
      <c r="S169" t="s">
        <v>2359</v>
      </c>
      <c r="T169">
        <v>202208</v>
      </c>
      <c r="U169" t="s">
        <v>191</v>
      </c>
      <c r="V169">
        <v>148392</v>
      </c>
    </row>
    <row r="170" spans="1:22">
      <c r="A170">
        <v>6897</v>
      </c>
      <c r="B170" t="s">
        <v>2364</v>
      </c>
      <c r="C170">
        <v>5697</v>
      </c>
      <c r="D170" t="s">
        <v>2201</v>
      </c>
      <c r="E170" t="s">
        <v>2359</v>
      </c>
      <c r="F170">
        <v>202203</v>
      </c>
      <c r="G170" t="s">
        <v>2170</v>
      </c>
      <c r="H170">
        <v>10574.32</v>
      </c>
      <c r="O170">
        <v>6897</v>
      </c>
      <c r="P170" t="s">
        <v>2364</v>
      </c>
      <c r="Q170">
        <v>5697</v>
      </c>
      <c r="R170" t="s">
        <v>2201</v>
      </c>
      <c r="S170" t="s">
        <v>2359</v>
      </c>
      <c r="T170">
        <v>202208</v>
      </c>
      <c r="U170" t="s">
        <v>178</v>
      </c>
      <c r="V170">
        <v>4147</v>
      </c>
    </row>
    <row r="171" spans="1:22">
      <c r="A171">
        <v>6897</v>
      </c>
      <c r="B171" t="s">
        <v>2364</v>
      </c>
      <c r="C171">
        <v>5697</v>
      </c>
      <c r="D171" t="s">
        <v>2201</v>
      </c>
      <c r="E171" t="s">
        <v>2359</v>
      </c>
      <c r="F171">
        <v>202203</v>
      </c>
      <c r="G171" t="s">
        <v>2169</v>
      </c>
      <c r="H171">
        <v>142.83000000000001</v>
      </c>
      <c r="O171">
        <v>6897</v>
      </c>
      <c r="P171" t="s">
        <v>2364</v>
      </c>
      <c r="Q171">
        <v>5697</v>
      </c>
      <c r="R171" t="s">
        <v>2201</v>
      </c>
      <c r="S171" t="s">
        <v>2359</v>
      </c>
      <c r="T171">
        <v>202208</v>
      </c>
      <c r="U171" t="s">
        <v>180</v>
      </c>
      <c r="V171">
        <v>3283</v>
      </c>
    </row>
    <row r="172" spans="1:22">
      <c r="A172">
        <v>6897</v>
      </c>
      <c r="B172" t="s">
        <v>2364</v>
      </c>
      <c r="C172">
        <v>5697</v>
      </c>
      <c r="D172" t="s">
        <v>2201</v>
      </c>
      <c r="E172" t="s">
        <v>2359</v>
      </c>
      <c r="F172">
        <v>202203</v>
      </c>
      <c r="G172" t="s">
        <v>2166</v>
      </c>
      <c r="H172">
        <v>11.83</v>
      </c>
      <c r="O172">
        <v>6897</v>
      </c>
      <c r="P172" t="s">
        <v>2364</v>
      </c>
      <c r="Q172">
        <v>5697</v>
      </c>
      <c r="R172" t="s">
        <v>2201</v>
      </c>
      <c r="S172" t="s">
        <v>2359</v>
      </c>
      <c r="T172">
        <v>202208</v>
      </c>
      <c r="U172" t="s">
        <v>182</v>
      </c>
      <c r="V172">
        <v>1454204</v>
      </c>
    </row>
    <row r="173" spans="1:22">
      <c r="A173">
        <v>6897</v>
      </c>
      <c r="B173" t="s">
        <v>2364</v>
      </c>
      <c r="C173">
        <v>5697</v>
      </c>
      <c r="D173" t="s">
        <v>2201</v>
      </c>
      <c r="E173" t="s">
        <v>2359</v>
      </c>
      <c r="F173">
        <v>202203</v>
      </c>
      <c r="G173" t="s">
        <v>2167</v>
      </c>
      <c r="H173">
        <v>21.22</v>
      </c>
      <c r="O173">
        <v>6897</v>
      </c>
      <c r="P173" t="s">
        <v>2364</v>
      </c>
      <c r="Q173">
        <v>5697</v>
      </c>
      <c r="R173" t="s">
        <v>2201</v>
      </c>
      <c r="S173" t="s">
        <v>2359</v>
      </c>
      <c r="T173">
        <v>202208</v>
      </c>
      <c r="U173" t="s">
        <v>184</v>
      </c>
      <c r="V173">
        <v>148392</v>
      </c>
    </row>
    <row r="174" spans="1:22">
      <c r="A174">
        <v>6897</v>
      </c>
      <c r="B174" t="s">
        <v>2364</v>
      </c>
      <c r="C174">
        <v>5697</v>
      </c>
      <c r="D174" t="s">
        <v>2201</v>
      </c>
      <c r="E174" t="s">
        <v>2359</v>
      </c>
      <c r="F174">
        <v>202203</v>
      </c>
      <c r="G174" t="s">
        <v>2168</v>
      </c>
      <c r="H174">
        <v>14.37</v>
      </c>
      <c r="O174">
        <v>6897</v>
      </c>
      <c r="P174" t="s">
        <v>2364</v>
      </c>
      <c r="Q174">
        <v>5697</v>
      </c>
      <c r="R174" t="s">
        <v>2201</v>
      </c>
      <c r="S174" t="s">
        <v>2359</v>
      </c>
      <c r="T174">
        <v>202208</v>
      </c>
      <c r="U174" t="s">
        <v>190</v>
      </c>
      <c r="V174">
        <v>4989226</v>
      </c>
    </row>
    <row r="175" spans="1:22">
      <c r="A175">
        <v>6897</v>
      </c>
      <c r="B175" t="s">
        <v>2364</v>
      </c>
      <c r="C175">
        <v>5697</v>
      </c>
      <c r="D175" t="s">
        <v>2201</v>
      </c>
      <c r="E175" t="s">
        <v>2359</v>
      </c>
      <c r="F175">
        <v>202203</v>
      </c>
      <c r="G175" t="s">
        <v>2171</v>
      </c>
      <c r="H175">
        <v>369730.9</v>
      </c>
      <c r="O175">
        <v>6897</v>
      </c>
      <c r="P175" t="s">
        <v>2364</v>
      </c>
      <c r="Q175">
        <v>5697</v>
      </c>
      <c r="R175" t="s">
        <v>2201</v>
      </c>
      <c r="S175" t="s">
        <v>2359</v>
      </c>
      <c r="T175">
        <v>202208</v>
      </c>
      <c r="U175" t="s">
        <v>191</v>
      </c>
      <c r="V175">
        <v>567126</v>
      </c>
    </row>
    <row r="176" spans="1:22">
      <c r="A176">
        <v>6897</v>
      </c>
      <c r="B176" t="s">
        <v>2364</v>
      </c>
      <c r="C176">
        <v>5697</v>
      </c>
      <c r="D176" t="s">
        <v>2201</v>
      </c>
      <c r="E176" t="s">
        <v>2359</v>
      </c>
      <c r="F176">
        <v>202203</v>
      </c>
      <c r="G176" t="s">
        <v>190</v>
      </c>
      <c r="H176">
        <v>729394</v>
      </c>
      <c r="O176">
        <v>6897</v>
      </c>
      <c r="P176" t="s">
        <v>2364</v>
      </c>
      <c r="Q176">
        <v>5697</v>
      </c>
      <c r="R176" t="s">
        <v>2201</v>
      </c>
      <c r="S176" t="s">
        <v>2359</v>
      </c>
      <c r="T176">
        <v>202208</v>
      </c>
      <c r="U176" t="s">
        <v>178</v>
      </c>
      <c r="V176">
        <v>14500</v>
      </c>
    </row>
    <row r="177" spans="1:22">
      <c r="A177">
        <v>6897</v>
      </c>
      <c r="B177" t="s">
        <v>2364</v>
      </c>
      <c r="C177">
        <v>5697</v>
      </c>
      <c r="D177" t="s">
        <v>2201</v>
      </c>
      <c r="E177" t="s">
        <v>2359</v>
      </c>
      <c r="F177">
        <v>202203</v>
      </c>
      <c r="G177" t="s">
        <v>191</v>
      </c>
      <c r="H177">
        <v>127629</v>
      </c>
      <c r="O177">
        <v>6897</v>
      </c>
      <c r="P177" t="s">
        <v>2364</v>
      </c>
      <c r="Q177">
        <v>5697</v>
      </c>
      <c r="R177" t="s">
        <v>2201</v>
      </c>
      <c r="S177" t="s">
        <v>2359</v>
      </c>
      <c r="T177">
        <v>202208</v>
      </c>
      <c r="U177" t="s">
        <v>180</v>
      </c>
      <c r="V177">
        <v>12584</v>
      </c>
    </row>
    <row r="178" spans="1:22">
      <c r="A178">
        <v>6897</v>
      </c>
      <c r="B178" t="s">
        <v>2364</v>
      </c>
      <c r="C178">
        <v>5697</v>
      </c>
      <c r="D178" t="s">
        <v>2201</v>
      </c>
      <c r="E178" t="s">
        <v>2359</v>
      </c>
      <c r="F178">
        <v>202203</v>
      </c>
      <c r="G178" t="s">
        <v>176</v>
      </c>
      <c r="H178">
        <v>0</v>
      </c>
      <c r="O178">
        <v>6897</v>
      </c>
      <c r="P178" t="s">
        <v>2364</v>
      </c>
      <c r="Q178">
        <v>5697</v>
      </c>
      <c r="R178" t="s">
        <v>2201</v>
      </c>
      <c r="S178" t="s">
        <v>2359</v>
      </c>
      <c r="T178">
        <v>202208</v>
      </c>
      <c r="U178" t="s">
        <v>182</v>
      </c>
      <c r="V178">
        <v>5044384</v>
      </c>
    </row>
    <row r="179" spans="1:22">
      <c r="A179">
        <v>6897</v>
      </c>
      <c r="B179" t="s">
        <v>2364</v>
      </c>
      <c r="C179">
        <v>5697</v>
      </c>
      <c r="D179" t="s">
        <v>2201</v>
      </c>
      <c r="E179" t="s">
        <v>2359</v>
      </c>
      <c r="F179">
        <v>202203</v>
      </c>
      <c r="G179" t="s">
        <v>178</v>
      </c>
      <c r="H179">
        <v>2800</v>
      </c>
      <c r="O179">
        <v>6897</v>
      </c>
      <c r="P179" t="s">
        <v>2364</v>
      </c>
      <c r="Q179">
        <v>5697</v>
      </c>
      <c r="R179" t="s">
        <v>2201</v>
      </c>
      <c r="S179" t="s">
        <v>2359</v>
      </c>
      <c r="T179">
        <v>202208</v>
      </c>
      <c r="U179" t="s">
        <v>184</v>
      </c>
      <c r="V179">
        <v>581563</v>
      </c>
    </row>
    <row r="180" spans="1:22">
      <c r="A180">
        <v>6897</v>
      </c>
      <c r="B180" t="s">
        <v>2364</v>
      </c>
      <c r="C180">
        <v>5697</v>
      </c>
      <c r="D180" t="s">
        <v>2201</v>
      </c>
      <c r="E180" t="s">
        <v>2359</v>
      </c>
      <c r="F180">
        <v>202203</v>
      </c>
      <c r="G180" t="s">
        <v>180</v>
      </c>
      <c r="H180">
        <v>2990</v>
      </c>
      <c r="O180">
        <v>6897</v>
      </c>
      <c r="P180" t="s">
        <v>2364</v>
      </c>
      <c r="Q180">
        <v>5697</v>
      </c>
      <c r="R180" t="s">
        <v>2201</v>
      </c>
      <c r="S180" t="s">
        <v>2359</v>
      </c>
      <c r="T180">
        <v>202208</v>
      </c>
      <c r="U180" t="s">
        <v>186</v>
      </c>
      <c r="V180">
        <v>139643</v>
      </c>
    </row>
    <row r="181" spans="1:22">
      <c r="A181">
        <v>6897</v>
      </c>
      <c r="B181" t="s">
        <v>2364</v>
      </c>
      <c r="C181">
        <v>5697</v>
      </c>
      <c r="D181" t="s">
        <v>2201</v>
      </c>
      <c r="E181" t="s">
        <v>2359</v>
      </c>
      <c r="F181">
        <v>202203</v>
      </c>
      <c r="G181" t="s">
        <v>182</v>
      </c>
      <c r="H181">
        <v>729394</v>
      </c>
      <c r="O181">
        <v>6897</v>
      </c>
      <c r="P181" t="s">
        <v>2364</v>
      </c>
      <c r="Q181">
        <v>5697</v>
      </c>
      <c r="R181" t="s">
        <v>2201</v>
      </c>
      <c r="S181" t="s">
        <v>2359</v>
      </c>
      <c r="T181">
        <v>202208</v>
      </c>
      <c r="U181" t="s">
        <v>190</v>
      </c>
      <c r="V181">
        <v>652214</v>
      </c>
    </row>
    <row r="182" spans="1:22">
      <c r="A182">
        <v>6897</v>
      </c>
      <c r="B182" t="s">
        <v>2364</v>
      </c>
      <c r="C182">
        <v>5697</v>
      </c>
      <c r="D182" t="s">
        <v>2201</v>
      </c>
      <c r="E182" t="s">
        <v>2359</v>
      </c>
      <c r="F182">
        <v>202203</v>
      </c>
      <c r="G182" t="s">
        <v>184</v>
      </c>
      <c r="H182">
        <v>127629</v>
      </c>
      <c r="O182">
        <v>6897</v>
      </c>
      <c r="P182" t="s">
        <v>2364</v>
      </c>
      <c r="Q182">
        <v>5697</v>
      </c>
      <c r="R182" t="s">
        <v>2201</v>
      </c>
      <c r="S182" t="s">
        <v>2359</v>
      </c>
      <c r="T182">
        <v>202208</v>
      </c>
      <c r="U182" t="s">
        <v>191</v>
      </c>
      <c r="V182">
        <v>110750</v>
      </c>
    </row>
    <row r="183" spans="1:22">
      <c r="A183">
        <v>6897</v>
      </c>
      <c r="B183" t="s">
        <v>2364</v>
      </c>
      <c r="C183">
        <v>5697</v>
      </c>
      <c r="D183" t="s">
        <v>2201</v>
      </c>
      <c r="E183" t="s">
        <v>2359</v>
      </c>
      <c r="F183">
        <v>202203</v>
      </c>
      <c r="G183" t="s">
        <v>192</v>
      </c>
      <c r="H183">
        <v>0</v>
      </c>
      <c r="O183">
        <v>6897</v>
      </c>
      <c r="P183" t="s">
        <v>2364</v>
      </c>
      <c r="Q183">
        <v>5697</v>
      </c>
      <c r="R183" t="s">
        <v>2201</v>
      </c>
      <c r="S183" t="s">
        <v>2359</v>
      </c>
      <c r="T183">
        <v>202208</v>
      </c>
      <c r="U183" t="s">
        <v>178</v>
      </c>
      <c r="V183">
        <v>2800</v>
      </c>
    </row>
    <row r="184" spans="1:22">
      <c r="A184">
        <v>6897</v>
      </c>
      <c r="B184" t="s">
        <v>2364</v>
      </c>
      <c r="C184">
        <v>5697</v>
      </c>
      <c r="D184" t="s">
        <v>2201</v>
      </c>
      <c r="E184" t="s">
        <v>2359</v>
      </c>
      <c r="F184">
        <v>202203</v>
      </c>
      <c r="G184" t="s">
        <v>2170</v>
      </c>
      <c r="H184">
        <v>6809.82</v>
      </c>
      <c r="O184">
        <v>6897</v>
      </c>
      <c r="P184" t="s">
        <v>2364</v>
      </c>
      <c r="Q184">
        <v>5697</v>
      </c>
      <c r="R184" t="s">
        <v>2201</v>
      </c>
      <c r="S184" t="s">
        <v>2359</v>
      </c>
      <c r="T184">
        <v>202208</v>
      </c>
      <c r="U184" t="s">
        <v>180</v>
      </c>
      <c r="V184">
        <v>2990</v>
      </c>
    </row>
    <row r="185" spans="1:22">
      <c r="A185">
        <v>6897</v>
      </c>
      <c r="B185" t="s">
        <v>2364</v>
      </c>
      <c r="C185">
        <v>5697</v>
      </c>
      <c r="D185" t="s">
        <v>2201</v>
      </c>
      <c r="E185" t="s">
        <v>2359</v>
      </c>
      <c r="F185">
        <v>202203</v>
      </c>
      <c r="G185" t="s">
        <v>2169</v>
      </c>
      <c r="H185">
        <v>142.83000000000001</v>
      </c>
      <c r="O185">
        <v>6897</v>
      </c>
      <c r="P185" t="s">
        <v>2364</v>
      </c>
      <c r="Q185">
        <v>5697</v>
      </c>
      <c r="R185" t="s">
        <v>2201</v>
      </c>
      <c r="S185" t="s">
        <v>2359</v>
      </c>
      <c r="T185">
        <v>202208</v>
      </c>
      <c r="U185" t="s">
        <v>182</v>
      </c>
      <c r="V185">
        <v>652214</v>
      </c>
    </row>
    <row r="186" spans="1:22">
      <c r="A186">
        <v>6897</v>
      </c>
      <c r="B186" t="s">
        <v>2364</v>
      </c>
      <c r="C186">
        <v>5697</v>
      </c>
      <c r="D186" t="s">
        <v>2201</v>
      </c>
      <c r="E186" t="s">
        <v>2359</v>
      </c>
      <c r="F186">
        <v>202203</v>
      </c>
      <c r="G186" t="s">
        <v>2166</v>
      </c>
      <c r="H186">
        <v>11.83</v>
      </c>
      <c r="O186">
        <v>6897</v>
      </c>
      <c r="P186" t="s">
        <v>2364</v>
      </c>
      <c r="Q186">
        <v>5697</v>
      </c>
      <c r="R186" t="s">
        <v>2201</v>
      </c>
      <c r="S186" t="s">
        <v>2359</v>
      </c>
      <c r="T186">
        <v>202208</v>
      </c>
      <c r="U186" t="s">
        <v>184</v>
      </c>
      <c r="V186">
        <v>110750</v>
      </c>
    </row>
    <row r="187" spans="1:22">
      <c r="A187">
        <v>6897</v>
      </c>
      <c r="B187" t="s">
        <v>2364</v>
      </c>
      <c r="C187">
        <v>5697</v>
      </c>
      <c r="D187" t="s">
        <v>2201</v>
      </c>
      <c r="E187" t="s">
        <v>2359</v>
      </c>
      <c r="F187">
        <v>202203</v>
      </c>
      <c r="G187" t="s">
        <v>2167</v>
      </c>
      <c r="H187">
        <v>21.22</v>
      </c>
      <c r="O187">
        <v>6897</v>
      </c>
      <c r="P187" t="s">
        <v>2364</v>
      </c>
      <c r="Q187">
        <v>5697</v>
      </c>
      <c r="R187" t="s">
        <v>2201</v>
      </c>
      <c r="S187" t="s">
        <v>2359</v>
      </c>
      <c r="T187">
        <v>202109</v>
      </c>
      <c r="U187" t="s">
        <v>190</v>
      </c>
      <c r="V187">
        <v>755630</v>
      </c>
    </row>
    <row r="188" spans="1:22">
      <c r="A188">
        <v>6897</v>
      </c>
      <c r="B188" t="s">
        <v>2364</v>
      </c>
      <c r="C188">
        <v>5697</v>
      </c>
      <c r="D188" t="s">
        <v>2201</v>
      </c>
      <c r="E188" t="s">
        <v>2359</v>
      </c>
      <c r="F188">
        <v>202203</v>
      </c>
      <c r="G188" t="s">
        <v>2168</v>
      </c>
      <c r="H188">
        <v>14.37</v>
      </c>
      <c r="O188">
        <v>6897</v>
      </c>
      <c r="P188" t="s">
        <v>2364</v>
      </c>
      <c r="Q188">
        <v>5697</v>
      </c>
      <c r="R188" t="s">
        <v>2201</v>
      </c>
      <c r="S188" t="s">
        <v>2359</v>
      </c>
      <c r="T188">
        <v>202109</v>
      </c>
      <c r="U188" t="s">
        <v>191</v>
      </c>
      <c r="V188">
        <v>119695</v>
      </c>
    </row>
    <row r="189" spans="1:22">
      <c r="A189">
        <v>6897</v>
      </c>
      <c r="B189" t="s">
        <v>2364</v>
      </c>
      <c r="C189">
        <v>5697</v>
      </c>
      <c r="D189" t="s">
        <v>2201</v>
      </c>
      <c r="E189" t="s">
        <v>2359</v>
      </c>
      <c r="F189">
        <v>202203</v>
      </c>
      <c r="G189" t="s">
        <v>2171</v>
      </c>
      <c r="H189">
        <v>238105.62</v>
      </c>
      <c r="O189">
        <v>6897</v>
      </c>
      <c r="P189" t="s">
        <v>2364</v>
      </c>
      <c r="Q189">
        <v>5697</v>
      </c>
      <c r="R189" t="s">
        <v>2201</v>
      </c>
      <c r="S189" t="s">
        <v>2359</v>
      </c>
      <c r="T189">
        <v>202109</v>
      </c>
      <c r="U189" t="s">
        <v>178</v>
      </c>
      <c r="V189">
        <v>2644</v>
      </c>
    </row>
    <row r="190" spans="1:22">
      <c r="A190">
        <v>6897</v>
      </c>
      <c r="B190" t="s">
        <v>2364</v>
      </c>
      <c r="C190">
        <v>5697</v>
      </c>
      <c r="D190" t="s">
        <v>2201</v>
      </c>
      <c r="E190" t="s">
        <v>2359</v>
      </c>
      <c r="F190">
        <v>202202</v>
      </c>
      <c r="G190" t="s">
        <v>190</v>
      </c>
      <c r="H190">
        <v>1363205</v>
      </c>
      <c r="O190">
        <v>6897</v>
      </c>
      <c r="P190" t="s">
        <v>2364</v>
      </c>
      <c r="Q190">
        <v>5697</v>
      </c>
      <c r="R190" t="s">
        <v>2201</v>
      </c>
      <c r="S190" t="s">
        <v>2359</v>
      </c>
      <c r="T190">
        <v>202109</v>
      </c>
      <c r="U190" t="s">
        <v>180</v>
      </c>
      <c r="V190">
        <v>2805</v>
      </c>
    </row>
    <row r="191" spans="1:22">
      <c r="A191">
        <v>6897</v>
      </c>
      <c r="B191" t="s">
        <v>2364</v>
      </c>
      <c r="C191">
        <v>5697</v>
      </c>
      <c r="D191" t="s">
        <v>2201</v>
      </c>
      <c r="E191" t="s">
        <v>2359</v>
      </c>
      <c r="F191">
        <v>202202</v>
      </c>
      <c r="G191" t="s">
        <v>191</v>
      </c>
      <c r="H191">
        <v>156505</v>
      </c>
      <c r="O191">
        <v>6897</v>
      </c>
      <c r="P191" t="s">
        <v>2364</v>
      </c>
      <c r="Q191">
        <v>5697</v>
      </c>
      <c r="R191" t="s">
        <v>2201</v>
      </c>
      <c r="S191" t="s">
        <v>2359</v>
      </c>
      <c r="T191">
        <v>202109</v>
      </c>
      <c r="U191" t="s">
        <v>182</v>
      </c>
      <c r="V191">
        <v>755630</v>
      </c>
    </row>
    <row r="192" spans="1:22">
      <c r="A192">
        <v>6897</v>
      </c>
      <c r="B192" t="s">
        <v>2364</v>
      </c>
      <c r="C192">
        <v>5697</v>
      </c>
      <c r="D192" t="s">
        <v>2201</v>
      </c>
      <c r="E192" t="s">
        <v>2359</v>
      </c>
      <c r="F192">
        <v>202202</v>
      </c>
      <c r="G192" t="s">
        <v>176</v>
      </c>
      <c r="H192">
        <v>0</v>
      </c>
      <c r="O192">
        <v>6897</v>
      </c>
      <c r="P192" t="s">
        <v>2364</v>
      </c>
      <c r="Q192">
        <v>5697</v>
      </c>
      <c r="R192" t="s">
        <v>2201</v>
      </c>
      <c r="S192" t="s">
        <v>2359</v>
      </c>
      <c r="T192">
        <v>202109</v>
      </c>
      <c r="U192" t="s">
        <v>184</v>
      </c>
      <c r="V192">
        <v>119695</v>
      </c>
    </row>
    <row r="193" spans="1:22">
      <c r="A193">
        <v>6897</v>
      </c>
      <c r="B193" t="s">
        <v>2364</v>
      </c>
      <c r="C193">
        <v>5697</v>
      </c>
      <c r="D193" t="s">
        <v>2201</v>
      </c>
      <c r="E193" t="s">
        <v>2359</v>
      </c>
      <c r="F193">
        <v>202202</v>
      </c>
      <c r="G193" t="s">
        <v>178</v>
      </c>
      <c r="H193">
        <v>3424</v>
      </c>
      <c r="O193">
        <v>6897</v>
      </c>
      <c r="P193" t="s">
        <v>2364</v>
      </c>
      <c r="Q193">
        <v>5697</v>
      </c>
      <c r="R193" t="s">
        <v>2201</v>
      </c>
      <c r="S193" t="s">
        <v>2359</v>
      </c>
      <c r="T193">
        <v>202109</v>
      </c>
      <c r="U193" t="s">
        <v>190</v>
      </c>
      <c r="V193">
        <v>6830157</v>
      </c>
    </row>
    <row r="194" spans="1:22">
      <c r="A194">
        <v>6897</v>
      </c>
      <c r="B194" t="s">
        <v>2364</v>
      </c>
      <c r="C194">
        <v>5697</v>
      </c>
      <c r="D194" t="s">
        <v>2201</v>
      </c>
      <c r="E194" t="s">
        <v>2359</v>
      </c>
      <c r="F194">
        <v>202202</v>
      </c>
      <c r="G194" t="s">
        <v>180</v>
      </c>
      <c r="H194">
        <v>2909</v>
      </c>
      <c r="O194">
        <v>6897</v>
      </c>
      <c r="P194" t="s">
        <v>2364</v>
      </c>
      <c r="Q194">
        <v>5697</v>
      </c>
      <c r="R194" t="s">
        <v>2201</v>
      </c>
      <c r="S194" t="s">
        <v>2359</v>
      </c>
      <c r="T194">
        <v>202109</v>
      </c>
      <c r="U194" t="s">
        <v>191</v>
      </c>
      <c r="V194">
        <v>719858</v>
      </c>
    </row>
    <row r="195" spans="1:22">
      <c r="A195">
        <v>6897</v>
      </c>
      <c r="B195" t="s">
        <v>2364</v>
      </c>
      <c r="C195">
        <v>5697</v>
      </c>
      <c r="D195" t="s">
        <v>2201</v>
      </c>
      <c r="E195" t="s">
        <v>2359</v>
      </c>
      <c r="F195">
        <v>202202</v>
      </c>
      <c r="G195" t="s">
        <v>182</v>
      </c>
      <c r="H195">
        <v>1363205</v>
      </c>
      <c r="O195">
        <v>6897</v>
      </c>
      <c r="P195" t="s">
        <v>2364</v>
      </c>
      <c r="Q195">
        <v>5697</v>
      </c>
      <c r="R195" t="s">
        <v>2201</v>
      </c>
      <c r="S195" t="s">
        <v>2359</v>
      </c>
      <c r="T195">
        <v>202109</v>
      </c>
      <c r="U195" t="s">
        <v>178</v>
      </c>
      <c r="V195">
        <v>18606</v>
      </c>
    </row>
    <row r="196" spans="1:22">
      <c r="A196">
        <v>6897</v>
      </c>
      <c r="B196" t="s">
        <v>2364</v>
      </c>
      <c r="C196">
        <v>5697</v>
      </c>
      <c r="D196" t="s">
        <v>2201</v>
      </c>
      <c r="E196" t="s">
        <v>2359</v>
      </c>
      <c r="F196">
        <v>202202</v>
      </c>
      <c r="G196" t="s">
        <v>184</v>
      </c>
      <c r="H196">
        <v>156505</v>
      </c>
      <c r="O196">
        <v>6897</v>
      </c>
      <c r="P196" t="s">
        <v>2364</v>
      </c>
      <c r="Q196">
        <v>5697</v>
      </c>
      <c r="R196" t="s">
        <v>2201</v>
      </c>
      <c r="S196" t="s">
        <v>2359</v>
      </c>
      <c r="T196">
        <v>202109</v>
      </c>
      <c r="U196" t="s">
        <v>180</v>
      </c>
      <c r="V196">
        <v>15790</v>
      </c>
    </row>
    <row r="197" spans="1:22">
      <c r="A197">
        <v>6897</v>
      </c>
      <c r="B197" t="s">
        <v>2364</v>
      </c>
      <c r="C197">
        <v>5697</v>
      </c>
      <c r="D197" t="s">
        <v>2201</v>
      </c>
      <c r="E197" t="s">
        <v>2359</v>
      </c>
      <c r="F197">
        <v>202202</v>
      </c>
      <c r="G197" t="s">
        <v>192</v>
      </c>
      <c r="H197">
        <v>0</v>
      </c>
      <c r="O197">
        <v>6897</v>
      </c>
      <c r="P197" t="s">
        <v>2364</v>
      </c>
      <c r="Q197">
        <v>5697</v>
      </c>
      <c r="R197" t="s">
        <v>2201</v>
      </c>
      <c r="S197" t="s">
        <v>2359</v>
      </c>
      <c r="T197">
        <v>202109</v>
      </c>
      <c r="U197" t="s">
        <v>182</v>
      </c>
      <c r="V197">
        <v>6955077</v>
      </c>
    </row>
    <row r="198" spans="1:22">
      <c r="A198">
        <v>6897</v>
      </c>
      <c r="B198" t="s">
        <v>2364</v>
      </c>
      <c r="C198">
        <v>5697</v>
      </c>
      <c r="D198" t="s">
        <v>2201</v>
      </c>
      <c r="E198" t="s">
        <v>2359</v>
      </c>
      <c r="F198">
        <v>202202</v>
      </c>
      <c r="G198" t="s">
        <v>2170</v>
      </c>
      <c r="H198">
        <v>17476.25</v>
      </c>
      <c r="O198">
        <v>6897</v>
      </c>
      <c r="P198" t="s">
        <v>2364</v>
      </c>
      <c r="Q198">
        <v>5697</v>
      </c>
      <c r="R198" t="s">
        <v>2201</v>
      </c>
      <c r="S198" t="s">
        <v>2359</v>
      </c>
      <c r="T198">
        <v>202109</v>
      </c>
      <c r="U198" t="s">
        <v>184</v>
      </c>
      <c r="V198">
        <v>735133</v>
      </c>
    </row>
    <row r="199" spans="1:22">
      <c r="A199">
        <v>6897</v>
      </c>
      <c r="B199" t="s">
        <v>2364</v>
      </c>
      <c r="C199">
        <v>5697</v>
      </c>
      <c r="D199" t="s">
        <v>2201</v>
      </c>
      <c r="E199" t="s">
        <v>2359</v>
      </c>
      <c r="F199">
        <v>202202</v>
      </c>
      <c r="G199" t="s">
        <v>2169</v>
      </c>
      <c r="H199">
        <v>142.83000000000001</v>
      </c>
      <c r="O199">
        <v>6897</v>
      </c>
      <c r="P199" t="s">
        <v>2364</v>
      </c>
      <c r="Q199">
        <v>5697</v>
      </c>
      <c r="R199" t="s">
        <v>2201</v>
      </c>
      <c r="S199" t="s">
        <v>2359</v>
      </c>
      <c r="T199">
        <v>202109</v>
      </c>
      <c r="U199" t="s">
        <v>186</v>
      </c>
      <c r="V199">
        <v>159793</v>
      </c>
    </row>
    <row r="200" spans="1:22">
      <c r="A200">
        <v>6897</v>
      </c>
      <c r="B200" t="s">
        <v>2364</v>
      </c>
      <c r="C200">
        <v>5697</v>
      </c>
      <c r="D200" t="s">
        <v>2201</v>
      </c>
      <c r="E200" t="s">
        <v>2359</v>
      </c>
      <c r="F200">
        <v>202202</v>
      </c>
      <c r="G200" t="s">
        <v>2166</v>
      </c>
      <c r="H200">
        <v>11.83</v>
      </c>
    </row>
    <row r="201" spans="1:22">
      <c r="A201">
        <v>6897</v>
      </c>
      <c r="B201" t="s">
        <v>2364</v>
      </c>
      <c r="C201">
        <v>5697</v>
      </c>
      <c r="D201" t="s">
        <v>2201</v>
      </c>
      <c r="E201" t="s">
        <v>2359</v>
      </c>
      <c r="F201">
        <v>202202</v>
      </c>
      <c r="G201" t="s">
        <v>2167</v>
      </c>
      <c r="H201">
        <v>21.22</v>
      </c>
    </row>
    <row r="202" spans="1:22">
      <c r="A202">
        <v>6897</v>
      </c>
      <c r="B202" t="s">
        <v>2364</v>
      </c>
      <c r="C202">
        <v>5697</v>
      </c>
      <c r="D202" t="s">
        <v>2201</v>
      </c>
      <c r="E202" t="s">
        <v>2359</v>
      </c>
      <c r="F202">
        <v>202202</v>
      </c>
      <c r="G202" t="s">
        <v>2168</v>
      </c>
      <c r="H202">
        <v>14.37</v>
      </c>
    </row>
    <row r="203" spans="1:22">
      <c r="A203">
        <v>6897</v>
      </c>
      <c r="B203" t="s">
        <v>2364</v>
      </c>
      <c r="C203">
        <v>5697</v>
      </c>
      <c r="D203" t="s">
        <v>2201</v>
      </c>
      <c r="E203" t="s">
        <v>2359</v>
      </c>
      <c r="F203">
        <v>202202</v>
      </c>
      <c r="G203" t="s">
        <v>2171</v>
      </c>
      <c r="H203">
        <v>369476.64</v>
      </c>
    </row>
    <row r="204" spans="1:22">
      <c r="A204">
        <v>6897</v>
      </c>
      <c r="B204" t="s">
        <v>2364</v>
      </c>
      <c r="C204">
        <v>5697</v>
      </c>
      <c r="D204" t="s">
        <v>2201</v>
      </c>
      <c r="E204" t="s">
        <v>2359</v>
      </c>
      <c r="F204">
        <v>202204</v>
      </c>
      <c r="G204" t="s">
        <v>190</v>
      </c>
      <c r="H204">
        <v>761224</v>
      </c>
    </row>
    <row r="205" spans="1:22">
      <c r="A205">
        <v>6897</v>
      </c>
      <c r="B205" t="s">
        <v>2364</v>
      </c>
      <c r="C205">
        <v>5697</v>
      </c>
      <c r="D205" t="s">
        <v>2201</v>
      </c>
      <c r="E205" t="s">
        <v>2359</v>
      </c>
      <c r="F205">
        <v>202204</v>
      </c>
      <c r="G205" t="s">
        <v>191</v>
      </c>
      <c r="H205">
        <v>126601</v>
      </c>
    </row>
    <row r="206" spans="1:22">
      <c r="A206">
        <v>6897</v>
      </c>
      <c r="B206" t="s">
        <v>2364</v>
      </c>
      <c r="C206">
        <v>5697</v>
      </c>
      <c r="D206" t="s">
        <v>2201</v>
      </c>
      <c r="E206" t="s">
        <v>2359</v>
      </c>
      <c r="F206">
        <v>202204</v>
      </c>
      <c r="G206" t="s">
        <v>176</v>
      </c>
      <c r="H206">
        <v>0</v>
      </c>
    </row>
    <row r="207" spans="1:22">
      <c r="A207">
        <v>6897</v>
      </c>
      <c r="B207" t="s">
        <v>2364</v>
      </c>
      <c r="C207">
        <v>5697</v>
      </c>
      <c r="D207" t="s">
        <v>2201</v>
      </c>
      <c r="E207" t="s">
        <v>2359</v>
      </c>
      <c r="F207">
        <v>202204</v>
      </c>
      <c r="G207" t="s">
        <v>178</v>
      </c>
      <c r="H207">
        <v>2808</v>
      </c>
    </row>
    <row r="208" spans="1:22">
      <c r="A208">
        <v>6897</v>
      </c>
      <c r="B208" t="s">
        <v>2364</v>
      </c>
      <c r="C208">
        <v>5697</v>
      </c>
      <c r="D208" t="s">
        <v>2201</v>
      </c>
      <c r="E208" t="s">
        <v>2359</v>
      </c>
      <c r="F208">
        <v>202204</v>
      </c>
      <c r="G208" t="s">
        <v>180</v>
      </c>
      <c r="H208">
        <v>2990</v>
      </c>
    </row>
    <row r="209" spans="1:8">
      <c r="A209">
        <v>6897</v>
      </c>
      <c r="B209" t="s">
        <v>2364</v>
      </c>
      <c r="C209">
        <v>5697</v>
      </c>
      <c r="D209" t="s">
        <v>2201</v>
      </c>
      <c r="E209" t="s">
        <v>2359</v>
      </c>
      <c r="F209">
        <v>202204</v>
      </c>
      <c r="G209" t="s">
        <v>182</v>
      </c>
      <c r="H209">
        <v>761224</v>
      </c>
    </row>
    <row r="210" spans="1:8">
      <c r="A210">
        <v>6897</v>
      </c>
      <c r="B210" t="s">
        <v>2364</v>
      </c>
      <c r="C210">
        <v>5697</v>
      </c>
      <c r="D210" t="s">
        <v>2201</v>
      </c>
      <c r="E210" t="s">
        <v>2359</v>
      </c>
      <c r="F210">
        <v>202204</v>
      </c>
      <c r="G210" t="s">
        <v>184</v>
      </c>
      <c r="H210">
        <v>126601</v>
      </c>
    </row>
    <row r="211" spans="1:8">
      <c r="A211">
        <v>6897</v>
      </c>
      <c r="B211" t="s">
        <v>2364</v>
      </c>
      <c r="C211">
        <v>5697</v>
      </c>
      <c r="D211" t="s">
        <v>2201</v>
      </c>
      <c r="E211" t="s">
        <v>2359</v>
      </c>
      <c r="F211">
        <v>202204</v>
      </c>
      <c r="G211" t="s">
        <v>192</v>
      </c>
      <c r="H211">
        <v>0</v>
      </c>
    </row>
    <row r="212" spans="1:8">
      <c r="A212">
        <v>6897</v>
      </c>
      <c r="B212" t="s">
        <v>2364</v>
      </c>
      <c r="C212">
        <v>5697</v>
      </c>
      <c r="D212" t="s">
        <v>2201</v>
      </c>
      <c r="E212" t="s">
        <v>2359</v>
      </c>
      <c r="F212">
        <v>202204</v>
      </c>
      <c r="G212" t="s">
        <v>2170</v>
      </c>
      <c r="H212">
        <v>8011.19</v>
      </c>
    </row>
    <row r="213" spans="1:8">
      <c r="A213">
        <v>6897</v>
      </c>
      <c r="B213" t="s">
        <v>2364</v>
      </c>
      <c r="C213">
        <v>5697</v>
      </c>
      <c r="D213" t="s">
        <v>2201</v>
      </c>
      <c r="E213" t="s">
        <v>2359</v>
      </c>
      <c r="F213">
        <v>202204</v>
      </c>
      <c r="G213" t="s">
        <v>2169</v>
      </c>
      <c r="H213">
        <v>142.83000000000001</v>
      </c>
    </row>
    <row r="214" spans="1:8">
      <c r="A214">
        <v>6897</v>
      </c>
      <c r="B214" t="s">
        <v>2364</v>
      </c>
      <c r="C214">
        <v>5697</v>
      </c>
      <c r="D214" t="s">
        <v>2201</v>
      </c>
      <c r="E214" t="s">
        <v>2359</v>
      </c>
      <c r="F214">
        <v>202204</v>
      </c>
      <c r="G214" t="s">
        <v>2166</v>
      </c>
      <c r="H214">
        <v>11.83</v>
      </c>
    </row>
    <row r="215" spans="1:8">
      <c r="A215">
        <v>6897</v>
      </c>
      <c r="B215" t="s">
        <v>2364</v>
      </c>
      <c r="C215">
        <v>5697</v>
      </c>
      <c r="D215" t="s">
        <v>2201</v>
      </c>
      <c r="E215" t="s">
        <v>2359</v>
      </c>
      <c r="F215">
        <v>202204</v>
      </c>
      <c r="G215" t="s">
        <v>2167</v>
      </c>
      <c r="H215">
        <v>21.22</v>
      </c>
    </row>
    <row r="216" spans="1:8">
      <c r="A216">
        <v>6897</v>
      </c>
      <c r="B216" t="s">
        <v>2364</v>
      </c>
      <c r="C216">
        <v>5697</v>
      </c>
      <c r="D216" t="s">
        <v>2201</v>
      </c>
      <c r="E216" t="s">
        <v>2359</v>
      </c>
      <c r="F216">
        <v>202204</v>
      </c>
      <c r="G216" t="s">
        <v>2168</v>
      </c>
      <c r="H216">
        <v>14.37</v>
      </c>
    </row>
    <row r="217" spans="1:8">
      <c r="A217">
        <v>6897</v>
      </c>
      <c r="B217" t="s">
        <v>2364</v>
      </c>
      <c r="C217">
        <v>5697</v>
      </c>
      <c r="D217" t="s">
        <v>2201</v>
      </c>
      <c r="E217" t="s">
        <v>2359</v>
      </c>
      <c r="F217">
        <v>202204</v>
      </c>
      <c r="G217" t="s">
        <v>2171</v>
      </c>
      <c r="H217">
        <v>244243.7</v>
      </c>
    </row>
    <row r="218" spans="1:8">
      <c r="A218">
        <v>6897</v>
      </c>
      <c r="B218" t="s">
        <v>2364</v>
      </c>
      <c r="C218">
        <v>5697</v>
      </c>
      <c r="D218" t="s">
        <v>2201</v>
      </c>
      <c r="E218" t="s">
        <v>2359</v>
      </c>
      <c r="F218">
        <v>202204</v>
      </c>
      <c r="G218" t="s">
        <v>190</v>
      </c>
      <c r="H218">
        <v>1636056</v>
      </c>
    </row>
    <row r="219" spans="1:8">
      <c r="A219">
        <v>6897</v>
      </c>
      <c r="B219" t="s">
        <v>2364</v>
      </c>
      <c r="C219">
        <v>5697</v>
      </c>
      <c r="D219" t="s">
        <v>2201</v>
      </c>
      <c r="E219" t="s">
        <v>2359</v>
      </c>
      <c r="F219">
        <v>202204</v>
      </c>
      <c r="G219" t="s">
        <v>191</v>
      </c>
      <c r="H219">
        <v>174188</v>
      </c>
    </row>
    <row r="220" spans="1:8">
      <c r="A220">
        <v>6897</v>
      </c>
      <c r="B220" t="s">
        <v>2364</v>
      </c>
      <c r="C220">
        <v>5697</v>
      </c>
      <c r="D220" t="s">
        <v>2201</v>
      </c>
      <c r="E220" t="s">
        <v>2359</v>
      </c>
      <c r="F220">
        <v>202204</v>
      </c>
      <c r="G220" t="s">
        <v>176</v>
      </c>
      <c r="H220">
        <v>0</v>
      </c>
    </row>
    <row r="221" spans="1:8">
      <c r="A221">
        <v>6897</v>
      </c>
      <c r="B221" t="s">
        <v>2364</v>
      </c>
      <c r="C221">
        <v>5697</v>
      </c>
      <c r="D221" t="s">
        <v>2201</v>
      </c>
      <c r="E221" t="s">
        <v>2359</v>
      </c>
      <c r="F221">
        <v>202204</v>
      </c>
      <c r="G221" t="s">
        <v>178</v>
      </c>
      <c r="H221">
        <v>4556</v>
      </c>
    </row>
    <row r="222" spans="1:8">
      <c r="A222">
        <v>6897</v>
      </c>
      <c r="B222" t="s">
        <v>2364</v>
      </c>
      <c r="C222">
        <v>5697</v>
      </c>
      <c r="D222" t="s">
        <v>2201</v>
      </c>
      <c r="E222" t="s">
        <v>2359</v>
      </c>
      <c r="F222">
        <v>202204</v>
      </c>
      <c r="G222" t="s">
        <v>180</v>
      </c>
      <c r="H222">
        <v>3583</v>
      </c>
    </row>
    <row r="223" spans="1:8">
      <c r="A223">
        <v>6897</v>
      </c>
      <c r="B223" t="s">
        <v>2364</v>
      </c>
      <c r="C223">
        <v>5697</v>
      </c>
      <c r="D223" t="s">
        <v>2201</v>
      </c>
      <c r="E223" t="s">
        <v>2359</v>
      </c>
      <c r="F223">
        <v>202204</v>
      </c>
      <c r="G223" t="s">
        <v>182</v>
      </c>
      <c r="H223">
        <v>1636056</v>
      </c>
    </row>
    <row r="224" spans="1:8">
      <c r="A224">
        <v>6897</v>
      </c>
      <c r="B224" t="s">
        <v>2364</v>
      </c>
      <c r="C224">
        <v>5697</v>
      </c>
      <c r="D224" t="s">
        <v>2201</v>
      </c>
      <c r="E224" t="s">
        <v>2359</v>
      </c>
      <c r="F224">
        <v>202204</v>
      </c>
      <c r="G224" t="s">
        <v>184</v>
      </c>
      <c r="H224">
        <v>174188</v>
      </c>
    </row>
    <row r="225" spans="1:8">
      <c r="A225">
        <v>6897</v>
      </c>
      <c r="B225" t="s">
        <v>2364</v>
      </c>
      <c r="C225">
        <v>5697</v>
      </c>
      <c r="D225" t="s">
        <v>2201</v>
      </c>
      <c r="E225" t="s">
        <v>2359</v>
      </c>
      <c r="F225">
        <v>202204</v>
      </c>
      <c r="G225" t="s">
        <v>192</v>
      </c>
      <c r="H225">
        <v>0</v>
      </c>
    </row>
    <row r="226" spans="1:8">
      <c r="A226">
        <v>6897</v>
      </c>
      <c r="B226" t="s">
        <v>2364</v>
      </c>
      <c r="C226">
        <v>5697</v>
      </c>
      <c r="D226" t="s">
        <v>2201</v>
      </c>
      <c r="E226" t="s">
        <v>2359</v>
      </c>
      <c r="F226">
        <v>202204</v>
      </c>
      <c r="G226" t="s">
        <v>2170</v>
      </c>
      <c r="H226">
        <v>15197.46</v>
      </c>
    </row>
    <row r="227" spans="1:8">
      <c r="A227">
        <v>6897</v>
      </c>
      <c r="B227" t="s">
        <v>2364</v>
      </c>
      <c r="C227">
        <v>5697</v>
      </c>
      <c r="D227" t="s">
        <v>2201</v>
      </c>
      <c r="E227" t="s">
        <v>2359</v>
      </c>
      <c r="F227">
        <v>202204</v>
      </c>
      <c r="G227" t="s">
        <v>2169</v>
      </c>
      <c r="H227">
        <v>142.83000000000001</v>
      </c>
    </row>
    <row r="228" spans="1:8">
      <c r="A228">
        <v>6897</v>
      </c>
      <c r="B228" t="s">
        <v>2364</v>
      </c>
      <c r="C228">
        <v>5697</v>
      </c>
      <c r="D228" t="s">
        <v>2201</v>
      </c>
      <c r="E228" t="s">
        <v>2359</v>
      </c>
      <c r="F228">
        <v>202204</v>
      </c>
      <c r="G228" t="s">
        <v>2166</v>
      </c>
      <c r="H228">
        <v>11.83</v>
      </c>
    </row>
    <row r="229" spans="1:8">
      <c r="A229">
        <v>6897</v>
      </c>
      <c r="B229" t="s">
        <v>2364</v>
      </c>
      <c r="C229">
        <v>5697</v>
      </c>
      <c r="D229" t="s">
        <v>2201</v>
      </c>
      <c r="E229" t="s">
        <v>2359</v>
      </c>
      <c r="F229">
        <v>202204</v>
      </c>
      <c r="G229" t="s">
        <v>2167</v>
      </c>
      <c r="H229">
        <v>21.22</v>
      </c>
    </row>
    <row r="230" spans="1:8">
      <c r="A230">
        <v>6897</v>
      </c>
      <c r="B230" t="s">
        <v>2364</v>
      </c>
      <c r="C230">
        <v>5697</v>
      </c>
      <c r="D230" t="s">
        <v>2201</v>
      </c>
      <c r="E230" t="s">
        <v>2359</v>
      </c>
      <c r="F230">
        <v>202204</v>
      </c>
      <c r="G230" t="s">
        <v>2168</v>
      </c>
      <c r="H230">
        <v>14.37</v>
      </c>
    </row>
    <row r="231" spans="1:8">
      <c r="A231">
        <v>6897</v>
      </c>
      <c r="B231" t="s">
        <v>2364</v>
      </c>
      <c r="C231">
        <v>5697</v>
      </c>
      <c r="D231" t="s">
        <v>2201</v>
      </c>
      <c r="E231" t="s">
        <v>2359</v>
      </c>
      <c r="F231">
        <v>202204</v>
      </c>
      <c r="G231" t="s">
        <v>2171</v>
      </c>
      <c r="H231">
        <v>463337.85</v>
      </c>
    </row>
    <row r="232" spans="1:8">
      <c r="A232">
        <v>6897</v>
      </c>
      <c r="B232" t="s">
        <v>2364</v>
      </c>
      <c r="C232">
        <v>5697</v>
      </c>
      <c r="D232" t="s">
        <v>2201</v>
      </c>
      <c r="E232" t="s">
        <v>2359</v>
      </c>
      <c r="F232">
        <v>202204</v>
      </c>
      <c r="G232" t="s">
        <v>190</v>
      </c>
      <c r="H232">
        <v>5440892</v>
      </c>
    </row>
    <row r="233" spans="1:8">
      <c r="A233">
        <v>6897</v>
      </c>
      <c r="B233" t="s">
        <v>2364</v>
      </c>
      <c r="C233">
        <v>5697</v>
      </c>
      <c r="D233" t="s">
        <v>2201</v>
      </c>
      <c r="E233" t="s">
        <v>2359</v>
      </c>
      <c r="F233">
        <v>202204</v>
      </c>
      <c r="G233" t="s">
        <v>191</v>
      </c>
      <c r="H233">
        <v>560070</v>
      </c>
    </row>
    <row r="234" spans="1:8">
      <c r="A234">
        <v>6897</v>
      </c>
      <c r="B234" t="s">
        <v>2364</v>
      </c>
      <c r="C234">
        <v>5697</v>
      </c>
      <c r="D234" t="s">
        <v>2201</v>
      </c>
      <c r="E234" t="s">
        <v>2359</v>
      </c>
      <c r="F234">
        <v>202204</v>
      </c>
      <c r="G234" t="s">
        <v>176</v>
      </c>
      <c r="H234">
        <v>0</v>
      </c>
    </row>
    <row r="235" spans="1:8">
      <c r="A235">
        <v>6897</v>
      </c>
      <c r="B235" t="s">
        <v>2364</v>
      </c>
      <c r="C235">
        <v>5697</v>
      </c>
      <c r="D235" t="s">
        <v>2201</v>
      </c>
      <c r="E235" t="s">
        <v>2359</v>
      </c>
      <c r="F235">
        <v>202204</v>
      </c>
      <c r="G235" t="s">
        <v>178</v>
      </c>
      <c r="H235">
        <v>14500</v>
      </c>
    </row>
    <row r="236" spans="1:8">
      <c r="A236">
        <v>6897</v>
      </c>
      <c r="B236" t="s">
        <v>2364</v>
      </c>
      <c r="C236">
        <v>5697</v>
      </c>
      <c r="D236" t="s">
        <v>2201</v>
      </c>
      <c r="E236" t="s">
        <v>2359</v>
      </c>
      <c r="F236">
        <v>202204</v>
      </c>
      <c r="G236" t="s">
        <v>180</v>
      </c>
      <c r="H236">
        <v>12500</v>
      </c>
    </row>
    <row r="237" spans="1:8">
      <c r="A237">
        <v>6897</v>
      </c>
      <c r="B237" t="s">
        <v>2364</v>
      </c>
      <c r="C237">
        <v>5697</v>
      </c>
      <c r="D237" t="s">
        <v>2201</v>
      </c>
      <c r="E237" t="s">
        <v>2359</v>
      </c>
      <c r="F237">
        <v>202204</v>
      </c>
      <c r="G237" t="s">
        <v>182</v>
      </c>
      <c r="H237">
        <v>5441600</v>
      </c>
    </row>
    <row r="238" spans="1:8">
      <c r="A238">
        <v>6897</v>
      </c>
      <c r="B238" t="s">
        <v>2364</v>
      </c>
      <c r="C238">
        <v>5697</v>
      </c>
      <c r="D238" t="s">
        <v>2201</v>
      </c>
      <c r="E238" t="s">
        <v>2359</v>
      </c>
      <c r="F238">
        <v>202204</v>
      </c>
      <c r="G238" t="s">
        <v>184</v>
      </c>
      <c r="H238">
        <v>571820</v>
      </c>
    </row>
    <row r="239" spans="1:8">
      <c r="A239">
        <v>6897</v>
      </c>
      <c r="B239" t="s">
        <v>2364</v>
      </c>
      <c r="C239">
        <v>5697</v>
      </c>
      <c r="D239" t="s">
        <v>2201</v>
      </c>
      <c r="E239" t="s">
        <v>2359</v>
      </c>
      <c r="F239">
        <v>202204</v>
      </c>
      <c r="G239" t="s">
        <v>192</v>
      </c>
      <c r="H239">
        <v>0</v>
      </c>
    </row>
    <row r="240" spans="1:8">
      <c r="A240">
        <v>6897</v>
      </c>
      <c r="B240" t="s">
        <v>2364</v>
      </c>
      <c r="C240">
        <v>5697</v>
      </c>
      <c r="D240" t="s">
        <v>2201</v>
      </c>
      <c r="E240" t="s">
        <v>2359</v>
      </c>
      <c r="F240">
        <v>202204</v>
      </c>
      <c r="G240" t="s">
        <v>2170</v>
      </c>
      <c r="H240">
        <v>46809.68</v>
      </c>
    </row>
    <row r="241" spans="1:8">
      <c r="A241">
        <v>6897</v>
      </c>
      <c r="B241" t="s">
        <v>2364</v>
      </c>
      <c r="C241">
        <v>5697</v>
      </c>
      <c r="D241" t="s">
        <v>2201</v>
      </c>
      <c r="E241" t="s">
        <v>2359</v>
      </c>
      <c r="F241">
        <v>202204</v>
      </c>
      <c r="G241" t="s">
        <v>186</v>
      </c>
      <c r="H241">
        <v>123569</v>
      </c>
    </row>
    <row r="242" spans="1:8">
      <c r="A242">
        <v>6897</v>
      </c>
      <c r="B242" t="s">
        <v>2364</v>
      </c>
      <c r="C242">
        <v>5697</v>
      </c>
      <c r="D242" t="s">
        <v>2201</v>
      </c>
      <c r="E242" t="s">
        <v>2359</v>
      </c>
      <c r="F242">
        <v>202204</v>
      </c>
      <c r="G242" t="s">
        <v>2169</v>
      </c>
      <c r="H242">
        <v>142.83000000000001</v>
      </c>
    </row>
    <row r="243" spans="1:8">
      <c r="A243">
        <v>6897</v>
      </c>
      <c r="B243" t="s">
        <v>2364</v>
      </c>
      <c r="C243">
        <v>5697</v>
      </c>
      <c r="D243" t="s">
        <v>2201</v>
      </c>
      <c r="E243" t="s">
        <v>2359</v>
      </c>
      <c r="F243">
        <v>202204</v>
      </c>
      <c r="G243" t="s">
        <v>2166</v>
      </c>
      <c r="H243">
        <v>11.83</v>
      </c>
    </row>
    <row r="244" spans="1:8">
      <c r="A244">
        <v>6897</v>
      </c>
      <c r="B244" t="s">
        <v>2364</v>
      </c>
      <c r="C244">
        <v>5697</v>
      </c>
      <c r="D244" t="s">
        <v>2201</v>
      </c>
      <c r="E244" t="s">
        <v>2359</v>
      </c>
      <c r="F244">
        <v>202204</v>
      </c>
      <c r="G244" t="s">
        <v>2167</v>
      </c>
      <c r="H244">
        <v>21.22</v>
      </c>
    </row>
    <row r="245" spans="1:8">
      <c r="A245">
        <v>6897</v>
      </c>
      <c r="B245" t="s">
        <v>2364</v>
      </c>
      <c r="C245">
        <v>5697</v>
      </c>
      <c r="D245" t="s">
        <v>2201</v>
      </c>
      <c r="E245" t="s">
        <v>2359</v>
      </c>
      <c r="F245">
        <v>202204</v>
      </c>
      <c r="G245" t="s">
        <v>2168</v>
      </c>
      <c r="H245">
        <v>14.37</v>
      </c>
    </row>
    <row r="246" spans="1:8">
      <c r="A246">
        <v>6897</v>
      </c>
      <c r="B246" t="s">
        <v>2364</v>
      </c>
      <c r="C246">
        <v>5697</v>
      </c>
      <c r="D246" t="s">
        <v>2201</v>
      </c>
      <c r="E246" t="s">
        <v>2359</v>
      </c>
      <c r="F246">
        <v>202204</v>
      </c>
      <c r="G246" t="s">
        <v>2171</v>
      </c>
      <c r="H246">
        <v>1427124.91</v>
      </c>
    </row>
    <row r="247" spans="1:8">
      <c r="A247">
        <v>6897</v>
      </c>
      <c r="B247" t="s">
        <v>2364</v>
      </c>
      <c r="C247">
        <v>5697</v>
      </c>
      <c r="D247" t="s">
        <v>2201</v>
      </c>
      <c r="E247" t="s">
        <v>2359</v>
      </c>
      <c r="F247">
        <v>202205</v>
      </c>
      <c r="G247" t="s">
        <v>190</v>
      </c>
      <c r="H247">
        <v>665129</v>
      </c>
    </row>
    <row r="248" spans="1:8">
      <c r="A248">
        <v>6897</v>
      </c>
      <c r="B248" t="s">
        <v>2364</v>
      </c>
      <c r="C248">
        <v>5697</v>
      </c>
      <c r="D248" t="s">
        <v>2201</v>
      </c>
      <c r="E248" t="s">
        <v>2359</v>
      </c>
      <c r="F248">
        <v>202205</v>
      </c>
      <c r="G248" t="s">
        <v>191</v>
      </c>
      <c r="H248">
        <v>97941</v>
      </c>
    </row>
    <row r="249" spans="1:8">
      <c r="A249">
        <v>6897</v>
      </c>
      <c r="B249" t="s">
        <v>2364</v>
      </c>
      <c r="C249">
        <v>5697</v>
      </c>
      <c r="D249" t="s">
        <v>2201</v>
      </c>
      <c r="E249" t="s">
        <v>2359</v>
      </c>
      <c r="F249">
        <v>202205</v>
      </c>
      <c r="G249" t="s">
        <v>176</v>
      </c>
      <c r="H249">
        <v>0</v>
      </c>
    </row>
    <row r="250" spans="1:8">
      <c r="A250">
        <v>6897</v>
      </c>
      <c r="B250" t="s">
        <v>2364</v>
      </c>
      <c r="C250">
        <v>5697</v>
      </c>
      <c r="D250" t="s">
        <v>2201</v>
      </c>
      <c r="E250" t="s">
        <v>2359</v>
      </c>
      <c r="F250">
        <v>202205</v>
      </c>
      <c r="G250" t="s">
        <v>178</v>
      </c>
      <c r="H250">
        <v>2800</v>
      </c>
    </row>
    <row r="251" spans="1:8">
      <c r="A251">
        <v>6897</v>
      </c>
      <c r="B251" t="s">
        <v>2364</v>
      </c>
      <c r="C251">
        <v>5697</v>
      </c>
      <c r="D251" t="s">
        <v>2201</v>
      </c>
      <c r="E251" t="s">
        <v>2359</v>
      </c>
      <c r="F251">
        <v>202205</v>
      </c>
      <c r="G251" t="s">
        <v>180</v>
      </c>
      <c r="H251">
        <v>2990</v>
      </c>
    </row>
    <row r="252" spans="1:8">
      <c r="A252">
        <v>6897</v>
      </c>
      <c r="B252" t="s">
        <v>2364</v>
      </c>
      <c r="C252">
        <v>5697</v>
      </c>
      <c r="D252" t="s">
        <v>2201</v>
      </c>
      <c r="E252" t="s">
        <v>2359</v>
      </c>
      <c r="F252">
        <v>202205</v>
      </c>
      <c r="G252" t="s">
        <v>182</v>
      </c>
      <c r="H252">
        <v>665129</v>
      </c>
    </row>
    <row r="253" spans="1:8">
      <c r="A253">
        <v>6897</v>
      </c>
      <c r="B253" t="s">
        <v>2364</v>
      </c>
      <c r="C253">
        <v>5697</v>
      </c>
      <c r="D253" t="s">
        <v>2201</v>
      </c>
      <c r="E253" t="s">
        <v>2359</v>
      </c>
      <c r="F253">
        <v>202205</v>
      </c>
      <c r="G253" t="s">
        <v>184</v>
      </c>
      <c r="H253">
        <v>97941</v>
      </c>
    </row>
    <row r="254" spans="1:8">
      <c r="A254">
        <v>6897</v>
      </c>
      <c r="B254" t="s">
        <v>2364</v>
      </c>
      <c r="C254">
        <v>5697</v>
      </c>
      <c r="D254" t="s">
        <v>2201</v>
      </c>
      <c r="E254" t="s">
        <v>2359</v>
      </c>
      <c r="F254">
        <v>202205</v>
      </c>
      <c r="G254" t="s">
        <v>192</v>
      </c>
      <c r="H254">
        <v>0</v>
      </c>
    </row>
    <row r="255" spans="1:8">
      <c r="A255">
        <v>6897</v>
      </c>
      <c r="B255" t="s">
        <v>2364</v>
      </c>
      <c r="C255">
        <v>5697</v>
      </c>
      <c r="D255" t="s">
        <v>2201</v>
      </c>
      <c r="E255" t="s">
        <v>2359</v>
      </c>
      <c r="F255">
        <v>202205</v>
      </c>
      <c r="G255" t="s">
        <v>2170</v>
      </c>
      <c r="H255">
        <v>4734.99</v>
      </c>
    </row>
    <row r="256" spans="1:8">
      <c r="A256">
        <v>6897</v>
      </c>
      <c r="B256" t="s">
        <v>2364</v>
      </c>
      <c r="C256">
        <v>5697</v>
      </c>
      <c r="D256" t="s">
        <v>2201</v>
      </c>
      <c r="E256" t="s">
        <v>2359</v>
      </c>
      <c r="F256">
        <v>202205</v>
      </c>
      <c r="G256" t="s">
        <v>2169</v>
      </c>
      <c r="H256">
        <v>142.83000000000001</v>
      </c>
    </row>
    <row r="257" spans="1:8">
      <c r="A257">
        <v>6897</v>
      </c>
      <c r="B257" t="s">
        <v>2364</v>
      </c>
      <c r="C257">
        <v>5697</v>
      </c>
      <c r="D257" t="s">
        <v>2201</v>
      </c>
      <c r="E257" t="s">
        <v>2359</v>
      </c>
      <c r="F257">
        <v>202205</v>
      </c>
      <c r="G257" t="s">
        <v>2166</v>
      </c>
      <c r="H257">
        <v>11.83</v>
      </c>
    </row>
    <row r="258" spans="1:8">
      <c r="A258">
        <v>6897</v>
      </c>
      <c r="B258" t="s">
        <v>2364</v>
      </c>
      <c r="C258">
        <v>5697</v>
      </c>
      <c r="D258" t="s">
        <v>2201</v>
      </c>
      <c r="E258" t="s">
        <v>2359</v>
      </c>
      <c r="F258">
        <v>202205</v>
      </c>
      <c r="G258" t="s">
        <v>2167</v>
      </c>
      <c r="H258">
        <v>21.22</v>
      </c>
    </row>
    <row r="259" spans="1:8">
      <c r="A259">
        <v>6897</v>
      </c>
      <c r="B259" t="s">
        <v>2364</v>
      </c>
      <c r="C259">
        <v>5697</v>
      </c>
      <c r="D259" t="s">
        <v>2201</v>
      </c>
      <c r="E259" t="s">
        <v>2359</v>
      </c>
      <c r="F259">
        <v>202205</v>
      </c>
      <c r="G259" t="s">
        <v>2168</v>
      </c>
      <c r="H259">
        <v>14.37</v>
      </c>
    </row>
    <row r="260" spans="1:8">
      <c r="A260">
        <v>6897</v>
      </c>
      <c r="B260" t="s">
        <v>2364</v>
      </c>
      <c r="C260">
        <v>5697</v>
      </c>
      <c r="D260" t="s">
        <v>2201</v>
      </c>
      <c r="E260" t="s">
        <v>2359</v>
      </c>
      <c r="F260">
        <v>202205</v>
      </c>
      <c r="G260" t="s">
        <v>2171</v>
      </c>
      <c r="H260">
        <v>221261.38</v>
      </c>
    </row>
    <row r="261" spans="1:8">
      <c r="A261">
        <v>6897</v>
      </c>
      <c r="B261" t="s">
        <v>2364</v>
      </c>
      <c r="C261">
        <v>5697</v>
      </c>
      <c r="D261" t="s">
        <v>2201</v>
      </c>
      <c r="E261" t="s">
        <v>2359</v>
      </c>
      <c r="F261">
        <v>202205</v>
      </c>
      <c r="G261" t="s">
        <v>190</v>
      </c>
      <c r="H261">
        <v>1412529</v>
      </c>
    </row>
    <row r="262" spans="1:8">
      <c r="A262">
        <v>6897</v>
      </c>
      <c r="B262" t="s">
        <v>2364</v>
      </c>
      <c r="C262">
        <v>5697</v>
      </c>
      <c r="D262" t="s">
        <v>2201</v>
      </c>
      <c r="E262" t="s">
        <v>2359</v>
      </c>
      <c r="F262">
        <v>202205</v>
      </c>
      <c r="G262" t="s">
        <v>191</v>
      </c>
      <c r="H262">
        <v>136565</v>
      </c>
    </row>
    <row r="263" spans="1:8">
      <c r="A263">
        <v>6897</v>
      </c>
      <c r="B263" t="s">
        <v>2364</v>
      </c>
      <c r="C263">
        <v>5697</v>
      </c>
      <c r="D263" t="s">
        <v>2201</v>
      </c>
      <c r="E263" t="s">
        <v>2359</v>
      </c>
      <c r="F263">
        <v>202205</v>
      </c>
      <c r="G263" t="s">
        <v>176</v>
      </c>
      <c r="H263">
        <v>0</v>
      </c>
    </row>
    <row r="264" spans="1:8">
      <c r="A264">
        <v>6897</v>
      </c>
      <c r="B264" t="s">
        <v>2364</v>
      </c>
      <c r="C264">
        <v>5697</v>
      </c>
      <c r="D264" t="s">
        <v>2201</v>
      </c>
      <c r="E264" t="s">
        <v>2359</v>
      </c>
      <c r="F264">
        <v>202205</v>
      </c>
      <c r="G264" t="s">
        <v>178</v>
      </c>
      <c r="H264">
        <v>3946</v>
      </c>
    </row>
    <row r="265" spans="1:8">
      <c r="A265">
        <v>6897</v>
      </c>
      <c r="B265" t="s">
        <v>2364</v>
      </c>
      <c r="C265">
        <v>5697</v>
      </c>
      <c r="D265" t="s">
        <v>2201</v>
      </c>
      <c r="E265" t="s">
        <v>2359</v>
      </c>
      <c r="F265">
        <v>202205</v>
      </c>
      <c r="G265" t="s">
        <v>180</v>
      </c>
      <c r="H265">
        <v>3586</v>
      </c>
    </row>
    <row r="266" spans="1:8">
      <c r="A266">
        <v>6897</v>
      </c>
      <c r="B266" t="s">
        <v>2364</v>
      </c>
      <c r="C266">
        <v>5697</v>
      </c>
      <c r="D266" t="s">
        <v>2201</v>
      </c>
      <c r="E266" t="s">
        <v>2359</v>
      </c>
      <c r="F266">
        <v>202205</v>
      </c>
      <c r="G266" t="s">
        <v>182</v>
      </c>
      <c r="H266">
        <v>1412529</v>
      </c>
    </row>
    <row r="267" spans="1:8">
      <c r="A267">
        <v>6897</v>
      </c>
      <c r="B267" t="s">
        <v>2364</v>
      </c>
      <c r="C267">
        <v>5697</v>
      </c>
      <c r="D267" t="s">
        <v>2201</v>
      </c>
      <c r="E267" t="s">
        <v>2359</v>
      </c>
      <c r="F267">
        <v>202205</v>
      </c>
      <c r="G267" t="s">
        <v>184</v>
      </c>
      <c r="H267">
        <v>136565</v>
      </c>
    </row>
    <row r="268" spans="1:8">
      <c r="A268">
        <v>6897</v>
      </c>
      <c r="B268" t="s">
        <v>2364</v>
      </c>
      <c r="C268">
        <v>5697</v>
      </c>
      <c r="D268" t="s">
        <v>2201</v>
      </c>
      <c r="E268" t="s">
        <v>2359</v>
      </c>
      <c r="F268">
        <v>202205</v>
      </c>
      <c r="G268" t="s">
        <v>192</v>
      </c>
      <c r="H268">
        <v>0</v>
      </c>
    </row>
    <row r="269" spans="1:8">
      <c r="A269">
        <v>6897</v>
      </c>
      <c r="B269" t="s">
        <v>2364</v>
      </c>
      <c r="C269">
        <v>5697</v>
      </c>
      <c r="D269" t="s">
        <v>2201</v>
      </c>
      <c r="E269" t="s">
        <v>2359</v>
      </c>
      <c r="F269">
        <v>202205</v>
      </c>
      <c r="G269" t="s">
        <v>2170</v>
      </c>
      <c r="H269">
        <v>8474.56</v>
      </c>
    </row>
    <row r="270" spans="1:8">
      <c r="A270">
        <v>6897</v>
      </c>
      <c r="B270" t="s">
        <v>2364</v>
      </c>
      <c r="C270">
        <v>5697</v>
      </c>
      <c r="D270" t="s">
        <v>2201</v>
      </c>
      <c r="E270" t="s">
        <v>2359</v>
      </c>
      <c r="F270">
        <v>202205</v>
      </c>
      <c r="G270" t="s">
        <v>2169</v>
      </c>
      <c r="H270">
        <v>142.83000000000001</v>
      </c>
    </row>
    <row r="271" spans="1:8">
      <c r="A271">
        <v>6897</v>
      </c>
      <c r="B271" t="s">
        <v>2364</v>
      </c>
      <c r="C271">
        <v>5697</v>
      </c>
      <c r="D271" t="s">
        <v>2201</v>
      </c>
      <c r="E271" t="s">
        <v>2359</v>
      </c>
      <c r="F271">
        <v>202205</v>
      </c>
      <c r="G271" t="s">
        <v>2166</v>
      </c>
      <c r="H271">
        <v>11.83</v>
      </c>
    </row>
    <row r="272" spans="1:8">
      <c r="A272">
        <v>6897</v>
      </c>
      <c r="B272" t="s">
        <v>2364</v>
      </c>
      <c r="C272">
        <v>5697</v>
      </c>
      <c r="D272" t="s">
        <v>2201</v>
      </c>
      <c r="E272" t="s">
        <v>2359</v>
      </c>
      <c r="F272">
        <v>202205</v>
      </c>
      <c r="G272" t="s">
        <v>2167</v>
      </c>
      <c r="H272">
        <v>21.22</v>
      </c>
    </row>
    <row r="273" spans="1:8">
      <c r="A273">
        <v>6897</v>
      </c>
      <c r="B273" t="s">
        <v>2364</v>
      </c>
      <c r="C273">
        <v>5697</v>
      </c>
      <c r="D273" t="s">
        <v>2201</v>
      </c>
      <c r="E273" t="s">
        <v>2359</v>
      </c>
      <c r="F273">
        <v>202205</v>
      </c>
      <c r="G273" t="s">
        <v>2168</v>
      </c>
      <c r="H273">
        <v>14.37</v>
      </c>
    </row>
    <row r="274" spans="1:8">
      <c r="A274">
        <v>6897</v>
      </c>
      <c r="B274" t="s">
        <v>2364</v>
      </c>
      <c r="C274">
        <v>5697</v>
      </c>
      <c r="D274" t="s">
        <v>2201</v>
      </c>
      <c r="E274" t="s">
        <v>2359</v>
      </c>
      <c r="F274">
        <v>202205</v>
      </c>
      <c r="G274" t="s">
        <v>2171</v>
      </c>
      <c r="H274">
        <v>396007.4</v>
      </c>
    </row>
    <row r="275" spans="1:8">
      <c r="A275">
        <v>6897</v>
      </c>
      <c r="B275" t="s">
        <v>2364</v>
      </c>
      <c r="C275">
        <v>5697</v>
      </c>
      <c r="D275" t="s">
        <v>2201</v>
      </c>
      <c r="E275" t="s">
        <v>2359</v>
      </c>
      <c r="F275">
        <v>202205</v>
      </c>
      <c r="G275" t="s">
        <v>190</v>
      </c>
      <c r="H275">
        <v>4805325</v>
      </c>
    </row>
    <row r="276" spans="1:8">
      <c r="A276">
        <v>6897</v>
      </c>
      <c r="B276" t="s">
        <v>2364</v>
      </c>
      <c r="C276">
        <v>5697</v>
      </c>
      <c r="D276" t="s">
        <v>2201</v>
      </c>
      <c r="E276" t="s">
        <v>2359</v>
      </c>
      <c r="F276">
        <v>202205</v>
      </c>
      <c r="G276" t="s">
        <v>191</v>
      </c>
      <c r="H276">
        <v>432059</v>
      </c>
    </row>
    <row r="277" spans="1:8">
      <c r="A277">
        <v>6897</v>
      </c>
      <c r="B277" t="s">
        <v>2364</v>
      </c>
      <c r="C277">
        <v>5697</v>
      </c>
      <c r="D277" t="s">
        <v>2201</v>
      </c>
      <c r="E277" t="s">
        <v>2359</v>
      </c>
      <c r="F277">
        <v>202205</v>
      </c>
      <c r="G277" t="s">
        <v>176</v>
      </c>
      <c r="H277">
        <v>0</v>
      </c>
    </row>
    <row r="278" spans="1:8">
      <c r="A278">
        <v>6897</v>
      </c>
      <c r="B278" t="s">
        <v>2364</v>
      </c>
      <c r="C278">
        <v>5697</v>
      </c>
      <c r="D278" t="s">
        <v>2201</v>
      </c>
      <c r="E278" t="s">
        <v>2359</v>
      </c>
      <c r="F278">
        <v>202205</v>
      </c>
      <c r="G278" t="s">
        <v>178</v>
      </c>
      <c r="H278">
        <v>14500</v>
      </c>
    </row>
    <row r="279" spans="1:8">
      <c r="A279">
        <v>6897</v>
      </c>
      <c r="B279" t="s">
        <v>2364</v>
      </c>
      <c r="C279">
        <v>5697</v>
      </c>
      <c r="D279" t="s">
        <v>2201</v>
      </c>
      <c r="E279" t="s">
        <v>2359</v>
      </c>
      <c r="F279">
        <v>202205</v>
      </c>
      <c r="G279" t="s">
        <v>180</v>
      </c>
      <c r="H279">
        <v>12500</v>
      </c>
    </row>
    <row r="280" spans="1:8">
      <c r="A280">
        <v>6897</v>
      </c>
      <c r="B280" t="s">
        <v>2364</v>
      </c>
      <c r="C280">
        <v>5697</v>
      </c>
      <c r="D280" t="s">
        <v>2201</v>
      </c>
      <c r="E280" t="s">
        <v>2359</v>
      </c>
      <c r="F280">
        <v>202205</v>
      </c>
      <c r="G280" t="s">
        <v>182</v>
      </c>
      <c r="H280">
        <v>4578329</v>
      </c>
    </row>
    <row r="281" spans="1:8">
      <c r="A281">
        <v>6897</v>
      </c>
      <c r="B281" t="s">
        <v>2364</v>
      </c>
      <c r="C281">
        <v>5697</v>
      </c>
      <c r="D281" t="s">
        <v>2201</v>
      </c>
      <c r="E281" t="s">
        <v>2359</v>
      </c>
      <c r="F281">
        <v>202205</v>
      </c>
      <c r="G281" t="s">
        <v>184</v>
      </c>
      <c r="H281">
        <v>442538</v>
      </c>
    </row>
    <row r="282" spans="1:8">
      <c r="A282">
        <v>6897</v>
      </c>
      <c r="B282" t="s">
        <v>2364</v>
      </c>
      <c r="C282">
        <v>5697</v>
      </c>
      <c r="D282" t="s">
        <v>2201</v>
      </c>
      <c r="E282" t="s">
        <v>2359</v>
      </c>
      <c r="F282">
        <v>202205</v>
      </c>
      <c r="G282" t="s">
        <v>192</v>
      </c>
      <c r="H282">
        <v>0</v>
      </c>
    </row>
    <row r="283" spans="1:8">
      <c r="A283">
        <v>6897</v>
      </c>
      <c r="B283" t="s">
        <v>2364</v>
      </c>
      <c r="C283">
        <v>5697</v>
      </c>
      <c r="D283" t="s">
        <v>2201</v>
      </c>
      <c r="E283" t="s">
        <v>2359</v>
      </c>
      <c r="F283">
        <v>202205</v>
      </c>
      <c r="G283" t="s">
        <v>2170</v>
      </c>
      <c r="H283">
        <v>27487.83</v>
      </c>
    </row>
    <row r="284" spans="1:8">
      <c r="A284">
        <v>6897</v>
      </c>
      <c r="B284" t="s">
        <v>2364</v>
      </c>
      <c r="C284">
        <v>5697</v>
      </c>
      <c r="D284" t="s">
        <v>2201</v>
      </c>
      <c r="E284" t="s">
        <v>2359</v>
      </c>
      <c r="F284">
        <v>202205</v>
      </c>
      <c r="G284" t="s">
        <v>186</v>
      </c>
      <c r="H284">
        <v>118895</v>
      </c>
    </row>
    <row r="285" spans="1:8">
      <c r="A285">
        <v>6897</v>
      </c>
      <c r="B285" t="s">
        <v>2364</v>
      </c>
      <c r="C285">
        <v>5697</v>
      </c>
      <c r="D285" t="s">
        <v>2201</v>
      </c>
      <c r="E285" t="s">
        <v>2359</v>
      </c>
      <c r="F285">
        <v>202205</v>
      </c>
      <c r="G285" t="s">
        <v>2169</v>
      </c>
      <c r="H285">
        <v>142.83000000000001</v>
      </c>
    </row>
    <row r="286" spans="1:8">
      <c r="A286">
        <v>6897</v>
      </c>
      <c r="B286" t="s">
        <v>2364</v>
      </c>
      <c r="C286">
        <v>5697</v>
      </c>
      <c r="D286" t="s">
        <v>2201</v>
      </c>
      <c r="E286" t="s">
        <v>2359</v>
      </c>
      <c r="F286">
        <v>202205</v>
      </c>
      <c r="G286" t="s">
        <v>2166</v>
      </c>
      <c r="H286">
        <v>11.83</v>
      </c>
    </row>
    <row r="287" spans="1:8">
      <c r="A287">
        <v>6897</v>
      </c>
      <c r="B287" t="s">
        <v>2364</v>
      </c>
      <c r="C287">
        <v>5697</v>
      </c>
      <c r="D287" t="s">
        <v>2201</v>
      </c>
      <c r="E287" t="s">
        <v>2359</v>
      </c>
      <c r="F287">
        <v>202205</v>
      </c>
      <c r="G287" t="s">
        <v>2167</v>
      </c>
      <c r="H287">
        <v>21.22</v>
      </c>
    </row>
    <row r="288" spans="1:8">
      <c r="A288">
        <v>6897</v>
      </c>
      <c r="B288" t="s">
        <v>2364</v>
      </c>
      <c r="C288">
        <v>5697</v>
      </c>
      <c r="D288" t="s">
        <v>2201</v>
      </c>
      <c r="E288" t="s">
        <v>2359</v>
      </c>
      <c r="F288">
        <v>202205</v>
      </c>
      <c r="G288" t="s">
        <v>2168</v>
      </c>
      <c r="H288">
        <v>14.37</v>
      </c>
    </row>
    <row r="289" spans="1:8">
      <c r="A289">
        <v>6897</v>
      </c>
      <c r="B289" t="s">
        <v>2364</v>
      </c>
      <c r="C289">
        <v>5697</v>
      </c>
      <c r="D289" t="s">
        <v>2201</v>
      </c>
      <c r="E289" t="s">
        <v>2359</v>
      </c>
      <c r="F289">
        <v>202205</v>
      </c>
      <c r="G289" t="s">
        <v>2171</v>
      </c>
      <c r="H289">
        <v>1284478.22</v>
      </c>
    </row>
    <row r="290" spans="1:8">
      <c r="A290">
        <v>6897</v>
      </c>
      <c r="B290" t="s">
        <v>2364</v>
      </c>
      <c r="C290">
        <v>5697</v>
      </c>
      <c r="D290" t="s">
        <v>2201</v>
      </c>
      <c r="E290" t="s">
        <v>2359</v>
      </c>
      <c r="F290">
        <v>202206</v>
      </c>
      <c r="G290" t="s">
        <v>190</v>
      </c>
      <c r="H290">
        <v>670474</v>
      </c>
    </row>
    <row r="291" spans="1:8">
      <c r="A291">
        <v>6897</v>
      </c>
      <c r="B291" t="s">
        <v>2364</v>
      </c>
      <c r="C291">
        <v>5697</v>
      </c>
      <c r="D291" t="s">
        <v>2201</v>
      </c>
      <c r="E291" t="s">
        <v>2359</v>
      </c>
      <c r="F291">
        <v>202206</v>
      </c>
      <c r="G291" t="s">
        <v>191</v>
      </c>
      <c r="H291">
        <v>98986</v>
      </c>
    </row>
    <row r="292" spans="1:8">
      <c r="A292">
        <v>6897</v>
      </c>
      <c r="B292" t="s">
        <v>2364</v>
      </c>
      <c r="C292">
        <v>5697</v>
      </c>
      <c r="D292" t="s">
        <v>2201</v>
      </c>
      <c r="E292" t="s">
        <v>2359</v>
      </c>
      <c r="F292">
        <v>202206</v>
      </c>
      <c r="G292" t="s">
        <v>176</v>
      </c>
      <c r="H292">
        <v>0</v>
      </c>
    </row>
    <row r="293" spans="1:8">
      <c r="A293">
        <v>6897</v>
      </c>
      <c r="B293" t="s">
        <v>2364</v>
      </c>
      <c r="C293">
        <v>5697</v>
      </c>
      <c r="D293" t="s">
        <v>2201</v>
      </c>
      <c r="E293" t="s">
        <v>2359</v>
      </c>
      <c r="F293">
        <v>202206</v>
      </c>
      <c r="G293" t="s">
        <v>178</v>
      </c>
      <c r="H293">
        <v>2800</v>
      </c>
    </row>
    <row r="294" spans="1:8">
      <c r="A294">
        <v>6897</v>
      </c>
      <c r="B294" t="s">
        <v>2364</v>
      </c>
      <c r="C294">
        <v>5697</v>
      </c>
      <c r="D294" t="s">
        <v>2201</v>
      </c>
      <c r="E294" t="s">
        <v>2359</v>
      </c>
      <c r="F294">
        <v>202206</v>
      </c>
      <c r="G294" t="s">
        <v>180</v>
      </c>
      <c r="H294">
        <v>2990</v>
      </c>
    </row>
    <row r="295" spans="1:8">
      <c r="A295">
        <v>6897</v>
      </c>
      <c r="B295" t="s">
        <v>2364</v>
      </c>
      <c r="C295">
        <v>5697</v>
      </c>
      <c r="D295" t="s">
        <v>2201</v>
      </c>
      <c r="E295" t="s">
        <v>2359</v>
      </c>
      <c r="F295">
        <v>202206</v>
      </c>
      <c r="G295" t="s">
        <v>182</v>
      </c>
      <c r="H295">
        <v>670474</v>
      </c>
    </row>
    <row r="296" spans="1:8">
      <c r="A296">
        <v>6897</v>
      </c>
      <c r="B296" t="s">
        <v>2364</v>
      </c>
      <c r="C296">
        <v>5697</v>
      </c>
      <c r="D296" t="s">
        <v>2201</v>
      </c>
      <c r="E296" t="s">
        <v>2359</v>
      </c>
      <c r="F296">
        <v>202206</v>
      </c>
      <c r="G296" t="s">
        <v>184</v>
      </c>
      <c r="H296">
        <v>98986</v>
      </c>
    </row>
    <row r="297" spans="1:8">
      <c r="A297">
        <v>6897</v>
      </c>
      <c r="B297" t="s">
        <v>2364</v>
      </c>
      <c r="C297">
        <v>5697</v>
      </c>
      <c r="D297" t="s">
        <v>2201</v>
      </c>
      <c r="E297" t="s">
        <v>2359</v>
      </c>
      <c r="F297">
        <v>202206</v>
      </c>
      <c r="G297" t="s">
        <v>192</v>
      </c>
      <c r="H297">
        <v>0</v>
      </c>
    </row>
    <row r="298" spans="1:8">
      <c r="A298">
        <v>6897</v>
      </c>
      <c r="B298" t="s">
        <v>2364</v>
      </c>
      <c r="C298">
        <v>5697</v>
      </c>
      <c r="D298" t="s">
        <v>2201</v>
      </c>
      <c r="E298" t="s">
        <v>2359</v>
      </c>
      <c r="F298">
        <v>202206</v>
      </c>
      <c r="G298" t="s">
        <v>2170</v>
      </c>
      <c r="H298">
        <v>7075.09</v>
      </c>
    </row>
    <row r="299" spans="1:8">
      <c r="A299">
        <v>6897</v>
      </c>
      <c r="B299" t="s">
        <v>2364</v>
      </c>
      <c r="C299">
        <v>5697</v>
      </c>
      <c r="D299" t="s">
        <v>2201</v>
      </c>
      <c r="E299" t="s">
        <v>2359</v>
      </c>
      <c r="F299">
        <v>202206</v>
      </c>
      <c r="G299" t="s">
        <v>2169</v>
      </c>
      <c r="H299">
        <v>142.83000000000001</v>
      </c>
    </row>
    <row r="300" spans="1:8">
      <c r="A300">
        <v>6897</v>
      </c>
      <c r="B300" t="s">
        <v>2364</v>
      </c>
      <c r="C300">
        <v>5697</v>
      </c>
      <c r="D300" t="s">
        <v>2201</v>
      </c>
      <c r="E300" t="s">
        <v>2359</v>
      </c>
      <c r="F300">
        <v>202206</v>
      </c>
      <c r="G300" t="s">
        <v>2166</v>
      </c>
      <c r="H300">
        <v>11.83</v>
      </c>
    </row>
    <row r="301" spans="1:8">
      <c r="A301">
        <v>6897</v>
      </c>
      <c r="B301" t="s">
        <v>2364</v>
      </c>
      <c r="C301">
        <v>5697</v>
      </c>
      <c r="D301" t="s">
        <v>2201</v>
      </c>
      <c r="E301" t="s">
        <v>2359</v>
      </c>
      <c r="F301">
        <v>202206</v>
      </c>
      <c r="G301" t="s">
        <v>2167</v>
      </c>
      <c r="H301">
        <v>21.22</v>
      </c>
    </row>
    <row r="302" spans="1:8">
      <c r="A302">
        <v>6897</v>
      </c>
      <c r="B302" t="s">
        <v>2364</v>
      </c>
      <c r="C302">
        <v>5697</v>
      </c>
      <c r="D302" t="s">
        <v>2201</v>
      </c>
      <c r="E302" t="s">
        <v>2359</v>
      </c>
      <c r="F302">
        <v>202206</v>
      </c>
      <c r="G302" t="s">
        <v>2168</v>
      </c>
      <c r="H302">
        <v>14.37</v>
      </c>
    </row>
    <row r="303" spans="1:8">
      <c r="A303">
        <v>6897</v>
      </c>
      <c r="B303" t="s">
        <v>2364</v>
      </c>
      <c r="C303">
        <v>5697</v>
      </c>
      <c r="D303" t="s">
        <v>2201</v>
      </c>
      <c r="E303" t="s">
        <v>2359</v>
      </c>
      <c r="F303">
        <v>202206</v>
      </c>
      <c r="G303" t="s">
        <v>2171</v>
      </c>
      <c r="H303">
        <v>203543.03</v>
      </c>
    </row>
    <row r="304" spans="1:8">
      <c r="A304">
        <v>6897</v>
      </c>
      <c r="B304" t="s">
        <v>2364</v>
      </c>
      <c r="C304">
        <v>5697</v>
      </c>
      <c r="D304" t="s">
        <v>2201</v>
      </c>
      <c r="E304" t="s">
        <v>2359</v>
      </c>
      <c r="F304">
        <v>202206</v>
      </c>
      <c r="G304" t="s">
        <v>190</v>
      </c>
      <c r="H304">
        <v>1501725</v>
      </c>
    </row>
    <row r="305" spans="1:8">
      <c r="A305">
        <v>6897</v>
      </c>
      <c r="B305" t="s">
        <v>2364</v>
      </c>
      <c r="C305">
        <v>5697</v>
      </c>
      <c r="D305" t="s">
        <v>2201</v>
      </c>
      <c r="E305" t="s">
        <v>2359</v>
      </c>
      <c r="F305">
        <v>202206</v>
      </c>
      <c r="G305" t="s">
        <v>191</v>
      </c>
      <c r="H305">
        <v>162784</v>
      </c>
    </row>
    <row r="306" spans="1:8">
      <c r="A306">
        <v>6897</v>
      </c>
      <c r="B306" t="s">
        <v>2364</v>
      </c>
      <c r="C306">
        <v>5697</v>
      </c>
      <c r="D306" t="s">
        <v>2201</v>
      </c>
      <c r="E306" t="s">
        <v>2359</v>
      </c>
      <c r="F306">
        <v>202206</v>
      </c>
      <c r="G306" t="s">
        <v>176</v>
      </c>
      <c r="H306">
        <v>0</v>
      </c>
    </row>
    <row r="307" spans="1:8">
      <c r="A307">
        <v>6897</v>
      </c>
      <c r="B307" t="s">
        <v>2364</v>
      </c>
      <c r="C307">
        <v>5697</v>
      </c>
      <c r="D307" t="s">
        <v>2201</v>
      </c>
      <c r="E307" t="s">
        <v>2359</v>
      </c>
      <c r="F307">
        <v>202206</v>
      </c>
      <c r="G307" t="s">
        <v>178</v>
      </c>
      <c r="H307">
        <v>4170</v>
      </c>
    </row>
    <row r="308" spans="1:8">
      <c r="A308">
        <v>6897</v>
      </c>
      <c r="B308" t="s">
        <v>2364</v>
      </c>
      <c r="C308">
        <v>5697</v>
      </c>
      <c r="D308" t="s">
        <v>2201</v>
      </c>
      <c r="E308" t="s">
        <v>2359</v>
      </c>
      <c r="F308">
        <v>202206</v>
      </c>
      <c r="G308" t="s">
        <v>180</v>
      </c>
      <c r="H308">
        <v>3525</v>
      </c>
    </row>
    <row r="309" spans="1:8">
      <c r="A309">
        <v>6897</v>
      </c>
      <c r="B309" t="s">
        <v>2364</v>
      </c>
      <c r="C309">
        <v>5697</v>
      </c>
      <c r="D309" t="s">
        <v>2201</v>
      </c>
      <c r="E309" t="s">
        <v>2359</v>
      </c>
      <c r="F309">
        <v>202206</v>
      </c>
      <c r="G309" t="s">
        <v>182</v>
      </c>
      <c r="H309">
        <v>1501725</v>
      </c>
    </row>
    <row r="310" spans="1:8">
      <c r="A310">
        <v>6897</v>
      </c>
      <c r="B310" t="s">
        <v>2364</v>
      </c>
      <c r="C310">
        <v>5697</v>
      </c>
      <c r="D310" t="s">
        <v>2201</v>
      </c>
      <c r="E310" t="s">
        <v>2359</v>
      </c>
      <c r="F310">
        <v>202206</v>
      </c>
      <c r="G310" t="s">
        <v>184</v>
      </c>
      <c r="H310">
        <v>162784</v>
      </c>
    </row>
    <row r="311" spans="1:8">
      <c r="A311">
        <v>6897</v>
      </c>
      <c r="B311" t="s">
        <v>2364</v>
      </c>
      <c r="C311">
        <v>5697</v>
      </c>
      <c r="D311" t="s">
        <v>2201</v>
      </c>
      <c r="E311" t="s">
        <v>2359</v>
      </c>
      <c r="F311">
        <v>202206</v>
      </c>
      <c r="G311" t="s">
        <v>192</v>
      </c>
      <c r="H311">
        <v>0</v>
      </c>
    </row>
    <row r="312" spans="1:8">
      <c r="A312">
        <v>6897</v>
      </c>
      <c r="B312" t="s">
        <v>2364</v>
      </c>
      <c r="C312">
        <v>5697</v>
      </c>
      <c r="D312" t="s">
        <v>2201</v>
      </c>
      <c r="E312" t="s">
        <v>2359</v>
      </c>
      <c r="F312">
        <v>202206</v>
      </c>
      <c r="G312" t="s">
        <v>2170</v>
      </c>
      <c r="H312">
        <v>13134.71</v>
      </c>
    </row>
    <row r="313" spans="1:8">
      <c r="A313">
        <v>6897</v>
      </c>
      <c r="B313" t="s">
        <v>2364</v>
      </c>
      <c r="C313">
        <v>5697</v>
      </c>
      <c r="D313" t="s">
        <v>2201</v>
      </c>
      <c r="E313" t="s">
        <v>2359</v>
      </c>
      <c r="F313">
        <v>202206</v>
      </c>
      <c r="G313" t="s">
        <v>2169</v>
      </c>
      <c r="H313">
        <v>142.83000000000001</v>
      </c>
    </row>
    <row r="314" spans="1:8">
      <c r="A314">
        <v>6897</v>
      </c>
      <c r="B314" t="s">
        <v>2364</v>
      </c>
      <c r="C314">
        <v>5697</v>
      </c>
      <c r="D314" t="s">
        <v>2201</v>
      </c>
      <c r="E314" t="s">
        <v>2359</v>
      </c>
      <c r="F314">
        <v>202206</v>
      </c>
      <c r="G314" t="s">
        <v>2166</v>
      </c>
      <c r="H314">
        <v>11.83</v>
      </c>
    </row>
    <row r="315" spans="1:8">
      <c r="A315">
        <v>6897</v>
      </c>
      <c r="B315" t="s">
        <v>2364</v>
      </c>
      <c r="C315">
        <v>5697</v>
      </c>
      <c r="D315" t="s">
        <v>2201</v>
      </c>
      <c r="E315" t="s">
        <v>2359</v>
      </c>
      <c r="F315">
        <v>202206</v>
      </c>
      <c r="G315" t="s">
        <v>2167</v>
      </c>
      <c r="H315">
        <v>21.22</v>
      </c>
    </row>
    <row r="316" spans="1:8">
      <c r="A316">
        <v>6897</v>
      </c>
      <c r="B316" t="s">
        <v>2364</v>
      </c>
      <c r="C316">
        <v>5697</v>
      </c>
      <c r="D316" t="s">
        <v>2201</v>
      </c>
      <c r="E316" t="s">
        <v>2359</v>
      </c>
      <c r="F316">
        <v>202206</v>
      </c>
      <c r="G316" t="s">
        <v>2168</v>
      </c>
      <c r="H316">
        <v>14.37</v>
      </c>
    </row>
    <row r="317" spans="1:8">
      <c r="A317">
        <v>6897</v>
      </c>
      <c r="B317" t="s">
        <v>2364</v>
      </c>
      <c r="C317">
        <v>5697</v>
      </c>
      <c r="D317" t="s">
        <v>2201</v>
      </c>
      <c r="E317" t="s">
        <v>2359</v>
      </c>
      <c r="F317">
        <v>202206</v>
      </c>
      <c r="G317" t="s">
        <v>2171</v>
      </c>
      <c r="H317">
        <v>416974.56</v>
      </c>
    </row>
    <row r="318" spans="1:8">
      <c r="A318">
        <v>6897</v>
      </c>
      <c r="B318" t="s">
        <v>2364</v>
      </c>
      <c r="C318">
        <v>5697</v>
      </c>
      <c r="D318" t="s">
        <v>2201</v>
      </c>
      <c r="E318" t="s">
        <v>2359</v>
      </c>
      <c r="F318">
        <v>202206</v>
      </c>
      <c r="G318" t="s">
        <v>190</v>
      </c>
      <c r="H318">
        <v>5114360</v>
      </c>
    </row>
    <row r="319" spans="1:8">
      <c r="A319">
        <v>6897</v>
      </c>
      <c r="B319" t="s">
        <v>2364</v>
      </c>
      <c r="C319">
        <v>5697</v>
      </c>
      <c r="D319" t="s">
        <v>2201</v>
      </c>
      <c r="E319" t="s">
        <v>2359</v>
      </c>
      <c r="F319">
        <v>202206</v>
      </c>
      <c r="G319" t="s">
        <v>191</v>
      </c>
      <c r="H319">
        <v>527667</v>
      </c>
    </row>
    <row r="320" spans="1:8">
      <c r="A320">
        <v>6897</v>
      </c>
      <c r="B320" t="s">
        <v>2364</v>
      </c>
      <c r="C320">
        <v>5697</v>
      </c>
      <c r="D320" t="s">
        <v>2201</v>
      </c>
      <c r="E320" t="s">
        <v>2359</v>
      </c>
      <c r="F320">
        <v>202206</v>
      </c>
      <c r="G320" t="s">
        <v>176</v>
      </c>
      <c r="H320">
        <v>0</v>
      </c>
    </row>
    <row r="321" spans="1:8">
      <c r="A321">
        <v>6897</v>
      </c>
      <c r="B321" t="s">
        <v>2364</v>
      </c>
      <c r="C321">
        <v>5697</v>
      </c>
      <c r="D321" t="s">
        <v>2201</v>
      </c>
      <c r="E321" t="s">
        <v>2359</v>
      </c>
      <c r="F321">
        <v>202206</v>
      </c>
      <c r="G321" t="s">
        <v>178</v>
      </c>
      <c r="H321">
        <v>14500</v>
      </c>
    </row>
    <row r="322" spans="1:8">
      <c r="A322">
        <v>6897</v>
      </c>
      <c r="B322" t="s">
        <v>2364</v>
      </c>
      <c r="C322">
        <v>5697</v>
      </c>
      <c r="D322" t="s">
        <v>2201</v>
      </c>
      <c r="E322" t="s">
        <v>2359</v>
      </c>
      <c r="F322">
        <v>202206</v>
      </c>
      <c r="G322" t="s">
        <v>180</v>
      </c>
      <c r="H322">
        <v>12500</v>
      </c>
    </row>
    <row r="323" spans="1:8">
      <c r="A323">
        <v>6897</v>
      </c>
      <c r="B323" t="s">
        <v>2364</v>
      </c>
      <c r="C323">
        <v>5697</v>
      </c>
      <c r="D323" t="s">
        <v>2201</v>
      </c>
      <c r="E323" t="s">
        <v>2359</v>
      </c>
      <c r="F323">
        <v>202206</v>
      </c>
      <c r="G323" t="s">
        <v>182</v>
      </c>
      <c r="H323">
        <v>4928777</v>
      </c>
    </row>
    <row r="324" spans="1:8">
      <c r="A324">
        <v>6897</v>
      </c>
      <c r="B324" t="s">
        <v>2364</v>
      </c>
      <c r="C324">
        <v>5697</v>
      </c>
      <c r="D324" t="s">
        <v>2201</v>
      </c>
      <c r="E324" t="s">
        <v>2359</v>
      </c>
      <c r="F324">
        <v>202206</v>
      </c>
      <c r="G324" t="s">
        <v>184</v>
      </c>
      <c r="H324">
        <v>541007</v>
      </c>
    </row>
    <row r="325" spans="1:8">
      <c r="A325">
        <v>6897</v>
      </c>
      <c r="B325" t="s">
        <v>2364</v>
      </c>
      <c r="C325">
        <v>5697</v>
      </c>
      <c r="D325" t="s">
        <v>2201</v>
      </c>
      <c r="E325" t="s">
        <v>2359</v>
      </c>
      <c r="F325">
        <v>202206</v>
      </c>
      <c r="G325" t="s">
        <v>192</v>
      </c>
      <c r="H325">
        <v>0</v>
      </c>
    </row>
    <row r="326" spans="1:8">
      <c r="A326">
        <v>6897</v>
      </c>
      <c r="B326" t="s">
        <v>2364</v>
      </c>
      <c r="C326">
        <v>5697</v>
      </c>
      <c r="D326" t="s">
        <v>2201</v>
      </c>
      <c r="E326" t="s">
        <v>2359</v>
      </c>
      <c r="F326">
        <v>202206</v>
      </c>
      <c r="G326" t="s">
        <v>2170</v>
      </c>
      <c r="H326">
        <v>42972.58</v>
      </c>
    </row>
    <row r="327" spans="1:8">
      <c r="A327">
        <v>6897</v>
      </c>
      <c r="B327" t="s">
        <v>2364</v>
      </c>
      <c r="C327">
        <v>5697</v>
      </c>
      <c r="D327" t="s">
        <v>2201</v>
      </c>
      <c r="E327" t="s">
        <v>2359</v>
      </c>
      <c r="F327">
        <v>202206</v>
      </c>
      <c r="G327" t="s">
        <v>186</v>
      </c>
      <c r="H327">
        <v>134868</v>
      </c>
    </row>
    <row r="328" spans="1:8">
      <c r="A328">
        <v>6897</v>
      </c>
      <c r="B328" t="s">
        <v>2364</v>
      </c>
      <c r="C328">
        <v>5697</v>
      </c>
      <c r="D328" t="s">
        <v>2201</v>
      </c>
      <c r="E328" t="s">
        <v>2359</v>
      </c>
      <c r="F328">
        <v>202206</v>
      </c>
      <c r="G328" t="s">
        <v>2169</v>
      </c>
      <c r="H328">
        <v>142.83000000000001</v>
      </c>
    </row>
    <row r="329" spans="1:8">
      <c r="A329">
        <v>6897</v>
      </c>
      <c r="B329" t="s">
        <v>2364</v>
      </c>
      <c r="C329">
        <v>5697</v>
      </c>
      <c r="D329" t="s">
        <v>2201</v>
      </c>
      <c r="E329" t="s">
        <v>2359</v>
      </c>
      <c r="F329">
        <v>202206</v>
      </c>
      <c r="G329" t="s">
        <v>2166</v>
      </c>
      <c r="H329">
        <v>11.83</v>
      </c>
    </row>
    <row r="330" spans="1:8">
      <c r="A330">
        <v>6897</v>
      </c>
      <c r="B330" t="s">
        <v>2364</v>
      </c>
      <c r="C330">
        <v>5697</v>
      </c>
      <c r="D330" t="s">
        <v>2201</v>
      </c>
      <c r="E330" t="s">
        <v>2359</v>
      </c>
      <c r="F330">
        <v>202206</v>
      </c>
      <c r="G330" t="s">
        <v>2167</v>
      </c>
      <c r="H330">
        <v>21.22</v>
      </c>
    </row>
    <row r="331" spans="1:8">
      <c r="A331">
        <v>6897</v>
      </c>
      <c r="B331" t="s">
        <v>2364</v>
      </c>
      <c r="C331">
        <v>5697</v>
      </c>
      <c r="D331" t="s">
        <v>2201</v>
      </c>
      <c r="E331" t="s">
        <v>2359</v>
      </c>
      <c r="F331">
        <v>202206</v>
      </c>
      <c r="G331" t="s">
        <v>2168</v>
      </c>
      <c r="H331">
        <v>14.37</v>
      </c>
    </row>
    <row r="332" spans="1:8">
      <c r="A332">
        <v>6897</v>
      </c>
      <c r="B332" t="s">
        <v>2364</v>
      </c>
      <c r="C332">
        <v>5697</v>
      </c>
      <c r="D332" t="s">
        <v>2201</v>
      </c>
      <c r="E332" t="s">
        <v>2359</v>
      </c>
      <c r="F332">
        <v>202206</v>
      </c>
      <c r="G332" t="s">
        <v>2171</v>
      </c>
      <c r="H332">
        <v>1364209.07</v>
      </c>
    </row>
    <row r="333" spans="1:8">
      <c r="A333">
        <v>6897</v>
      </c>
      <c r="B333" t="s">
        <v>2364</v>
      </c>
      <c r="C333">
        <v>5697</v>
      </c>
      <c r="D333" t="s">
        <v>2201</v>
      </c>
      <c r="E333" t="s">
        <v>2359</v>
      </c>
      <c r="F333">
        <v>202207</v>
      </c>
      <c r="G333" t="s">
        <v>190</v>
      </c>
      <c r="H333">
        <v>704668</v>
      </c>
    </row>
    <row r="334" spans="1:8">
      <c r="A334">
        <v>6897</v>
      </c>
      <c r="B334" t="s">
        <v>2364</v>
      </c>
      <c r="C334">
        <v>5697</v>
      </c>
      <c r="D334" t="s">
        <v>2201</v>
      </c>
      <c r="E334" t="s">
        <v>2359</v>
      </c>
      <c r="F334">
        <v>202207</v>
      </c>
      <c r="G334" t="s">
        <v>191</v>
      </c>
      <c r="H334">
        <v>110096</v>
      </c>
    </row>
    <row r="335" spans="1:8">
      <c r="A335">
        <v>6897</v>
      </c>
      <c r="B335" t="s">
        <v>2364</v>
      </c>
      <c r="C335">
        <v>5697</v>
      </c>
      <c r="D335" t="s">
        <v>2201</v>
      </c>
      <c r="E335" t="s">
        <v>2359</v>
      </c>
      <c r="F335">
        <v>202207</v>
      </c>
      <c r="G335" t="s">
        <v>176</v>
      </c>
      <c r="H335">
        <v>0</v>
      </c>
    </row>
    <row r="336" spans="1:8">
      <c r="A336">
        <v>6897</v>
      </c>
      <c r="B336" t="s">
        <v>2364</v>
      </c>
      <c r="C336">
        <v>5697</v>
      </c>
      <c r="D336" t="s">
        <v>2201</v>
      </c>
      <c r="E336" t="s">
        <v>2359</v>
      </c>
      <c r="F336">
        <v>202207</v>
      </c>
      <c r="G336" t="s">
        <v>178</v>
      </c>
      <c r="H336">
        <v>2800</v>
      </c>
    </row>
    <row r="337" spans="1:8">
      <c r="A337">
        <v>6897</v>
      </c>
      <c r="B337" t="s">
        <v>2364</v>
      </c>
      <c r="C337">
        <v>5697</v>
      </c>
      <c r="D337" t="s">
        <v>2201</v>
      </c>
      <c r="E337" t="s">
        <v>2359</v>
      </c>
      <c r="F337">
        <v>202207</v>
      </c>
      <c r="G337" t="s">
        <v>180</v>
      </c>
      <c r="H337">
        <v>2990</v>
      </c>
    </row>
    <row r="338" spans="1:8">
      <c r="A338">
        <v>6897</v>
      </c>
      <c r="B338" t="s">
        <v>2364</v>
      </c>
      <c r="C338">
        <v>5697</v>
      </c>
      <c r="D338" t="s">
        <v>2201</v>
      </c>
      <c r="E338" t="s">
        <v>2359</v>
      </c>
      <c r="F338">
        <v>202207</v>
      </c>
      <c r="G338" t="s">
        <v>182</v>
      </c>
      <c r="H338">
        <v>704668</v>
      </c>
    </row>
    <row r="339" spans="1:8">
      <c r="A339">
        <v>6897</v>
      </c>
      <c r="B339" t="s">
        <v>2364</v>
      </c>
      <c r="C339">
        <v>5697</v>
      </c>
      <c r="D339" t="s">
        <v>2201</v>
      </c>
      <c r="E339" t="s">
        <v>2359</v>
      </c>
      <c r="F339">
        <v>202207</v>
      </c>
      <c r="G339" t="s">
        <v>184</v>
      </c>
      <c r="H339">
        <v>110096</v>
      </c>
    </row>
    <row r="340" spans="1:8">
      <c r="A340">
        <v>6897</v>
      </c>
      <c r="B340" t="s">
        <v>2364</v>
      </c>
      <c r="C340">
        <v>5697</v>
      </c>
      <c r="D340" t="s">
        <v>2201</v>
      </c>
      <c r="E340" t="s">
        <v>2359</v>
      </c>
      <c r="F340">
        <v>202207</v>
      </c>
      <c r="G340" t="s">
        <v>192</v>
      </c>
      <c r="H340">
        <v>0</v>
      </c>
    </row>
    <row r="341" spans="1:8">
      <c r="A341">
        <v>6897</v>
      </c>
      <c r="B341" t="s">
        <v>2364</v>
      </c>
      <c r="C341">
        <v>5697</v>
      </c>
      <c r="D341" t="s">
        <v>2201</v>
      </c>
      <c r="E341" t="s">
        <v>2359</v>
      </c>
      <c r="F341">
        <v>202207</v>
      </c>
      <c r="G341" t="s">
        <v>2170</v>
      </c>
      <c r="H341">
        <v>9238.7000000000007</v>
      </c>
    </row>
    <row r="342" spans="1:8">
      <c r="A342">
        <v>6897</v>
      </c>
      <c r="B342" t="s">
        <v>2364</v>
      </c>
      <c r="C342">
        <v>5697</v>
      </c>
      <c r="D342" t="s">
        <v>2201</v>
      </c>
      <c r="E342" t="s">
        <v>2359</v>
      </c>
      <c r="F342">
        <v>202207</v>
      </c>
      <c r="G342" t="s">
        <v>2169</v>
      </c>
      <c r="H342">
        <v>142.83000000000001</v>
      </c>
    </row>
    <row r="343" spans="1:8">
      <c r="A343">
        <v>6897</v>
      </c>
      <c r="B343" t="s">
        <v>2364</v>
      </c>
      <c r="C343">
        <v>5697</v>
      </c>
      <c r="D343" t="s">
        <v>2201</v>
      </c>
      <c r="E343" t="s">
        <v>2359</v>
      </c>
      <c r="F343">
        <v>202207</v>
      </c>
      <c r="G343" t="s">
        <v>2166</v>
      </c>
      <c r="H343">
        <v>11.83</v>
      </c>
    </row>
    <row r="344" spans="1:8">
      <c r="A344">
        <v>6897</v>
      </c>
      <c r="B344" t="s">
        <v>2364</v>
      </c>
      <c r="C344">
        <v>5697</v>
      </c>
      <c r="D344" t="s">
        <v>2201</v>
      </c>
      <c r="E344" t="s">
        <v>2359</v>
      </c>
      <c r="F344">
        <v>202207</v>
      </c>
      <c r="G344" t="s">
        <v>2167</v>
      </c>
      <c r="H344">
        <v>21.22</v>
      </c>
    </row>
    <row r="345" spans="1:8">
      <c r="A345">
        <v>6897</v>
      </c>
      <c r="B345" t="s">
        <v>2364</v>
      </c>
      <c r="C345">
        <v>5697</v>
      </c>
      <c r="D345" t="s">
        <v>2201</v>
      </c>
      <c r="E345" t="s">
        <v>2359</v>
      </c>
      <c r="F345">
        <v>202207</v>
      </c>
      <c r="G345" t="s">
        <v>2168</v>
      </c>
      <c r="H345">
        <v>14.37</v>
      </c>
    </row>
    <row r="346" spans="1:8">
      <c r="A346">
        <v>6897</v>
      </c>
      <c r="B346" t="s">
        <v>2364</v>
      </c>
      <c r="C346">
        <v>5697</v>
      </c>
      <c r="D346" t="s">
        <v>2201</v>
      </c>
      <c r="E346" t="s">
        <v>2359</v>
      </c>
      <c r="F346">
        <v>202207</v>
      </c>
      <c r="G346" t="s">
        <v>2171</v>
      </c>
      <c r="H346">
        <v>233891.38</v>
      </c>
    </row>
    <row r="347" spans="1:8">
      <c r="A347">
        <v>6897</v>
      </c>
      <c r="B347" t="s">
        <v>2364</v>
      </c>
      <c r="C347">
        <v>5697</v>
      </c>
      <c r="D347" t="s">
        <v>2201</v>
      </c>
      <c r="E347" t="s">
        <v>2359</v>
      </c>
      <c r="F347">
        <v>202207</v>
      </c>
      <c r="G347" t="s">
        <v>190</v>
      </c>
      <c r="H347">
        <v>5050965</v>
      </c>
    </row>
    <row r="348" spans="1:8">
      <c r="A348">
        <v>6897</v>
      </c>
      <c r="B348" t="s">
        <v>2364</v>
      </c>
      <c r="C348">
        <v>5697</v>
      </c>
      <c r="D348" t="s">
        <v>2201</v>
      </c>
      <c r="E348" t="s">
        <v>2359</v>
      </c>
      <c r="F348">
        <v>202207</v>
      </c>
      <c r="G348" t="s">
        <v>191</v>
      </c>
      <c r="H348">
        <v>523990</v>
      </c>
    </row>
    <row r="349" spans="1:8">
      <c r="A349">
        <v>6897</v>
      </c>
      <c r="B349" t="s">
        <v>2364</v>
      </c>
      <c r="C349">
        <v>5697</v>
      </c>
      <c r="D349" t="s">
        <v>2201</v>
      </c>
      <c r="E349" t="s">
        <v>2359</v>
      </c>
      <c r="F349">
        <v>202207</v>
      </c>
      <c r="G349" t="s">
        <v>176</v>
      </c>
      <c r="H349">
        <v>0</v>
      </c>
    </row>
    <row r="350" spans="1:8">
      <c r="A350">
        <v>6897</v>
      </c>
      <c r="B350" t="s">
        <v>2364</v>
      </c>
      <c r="C350">
        <v>5697</v>
      </c>
      <c r="D350" t="s">
        <v>2201</v>
      </c>
      <c r="E350" t="s">
        <v>2359</v>
      </c>
      <c r="F350">
        <v>202207</v>
      </c>
      <c r="G350" t="s">
        <v>178</v>
      </c>
      <c r="H350">
        <v>14500</v>
      </c>
    </row>
    <row r="351" spans="1:8">
      <c r="A351">
        <v>6897</v>
      </c>
      <c r="B351" t="s">
        <v>2364</v>
      </c>
      <c r="C351">
        <v>5697</v>
      </c>
      <c r="D351" t="s">
        <v>2201</v>
      </c>
      <c r="E351" t="s">
        <v>2359</v>
      </c>
      <c r="F351">
        <v>202207</v>
      </c>
      <c r="G351" t="s">
        <v>180</v>
      </c>
      <c r="H351">
        <v>12500</v>
      </c>
    </row>
    <row r="352" spans="1:8">
      <c r="A352">
        <v>6897</v>
      </c>
      <c r="B352" t="s">
        <v>2364</v>
      </c>
      <c r="C352">
        <v>5697</v>
      </c>
      <c r="D352" t="s">
        <v>2201</v>
      </c>
      <c r="E352" t="s">
        <v>2359</v>
      </c>
      <c r="F352">
        <v>202207</v>
      </c>
      <c r="G352" t="s">
        <v>182</v>
      </c>
      <c r="H352">
        <v>4838280</v>
      </c>
    </row>
    <row r="353" spans="1:8">
      <c r="A353">
        <v>6897</v>
      </c>
      <c r="B353" t="s">
        <v>2364</v>
      </c>
      <c r="C353">
        <v>5697</v>
      </c>
      <c r="D353" t="s">
        <v>2201</v>
      </c>
      <c r="E353" t="s">
        <v>2359</v>
      </c>
      <c r="F353">
        <v>202207</v>
      </c>
      <c r="G353" t="s">
        <v>184</v>
      </c>
      <c r="H353">
        <v>537468</v>
      </c>
    </row>
    <row r="354" spans="1:8">
      <c r="A354">
        <v>6897</v>
      </c>
      <c r="B354" t="s">
        <v>2364</v>
      </c>
      <c r="C354">
        <v>5697</v>
      </c>
      <c r="D354" t="s">
        <v>2201</v>
      </c>
      <c r="E354" t="s">
        <v>2359</v>
      </c>
      <c r="F354">
        <v>202207</v>
      </c>
      <c r="G354" t="s">
        <v>192</v>
      </c>
      <c r="H354">
        <v>0</v>
      </c>
    </row>
    <row r="355" spans="1:8">
      <c r="A355">
        <v>6897</v>
      </c>
      <c r="B355" t="s">
        <v>2364</v>
      </c>
      <c r="C355">
        <v>5697</v>
      </c>
      <c r="D355" t="s">
        <v>2201</v>
      </c>
      <c r="E355" t="s">
        <v>2359</v>
      </c>
      <c r="F355">
        <v>202207</v>
      </c>
      <c r="G355" t="s">
        <v>2170</v>
      </c>
      <c r="H355">
        <v>53885.53</v>
      </c>
    </row>
    <row r="356" spans="1:8">
      <c r="A356">
        <v>6897</v>
      </c>
      <c r="B356" t="s">
        <v>2364</v>
      </c>
      <c r="C356">
        <v>5697</v>
      </c>
      <c r="D356" t="s">
        <v>2201</v>
      </c>
      <c r="E356" t="s">
        <v>2359</v>
      </c>
      <c r="F356">
        <v>202207</v>
      </c>
      <c r="G356" t="s">
        <v>186</v>
      </c>
      <c r="H356">
        <v>134775</v>
      </c>
    </row>
    <row r="357" spans="1:8">
      <c r="A357">
        <v>6897</v>
      </c>
      <c r="B357" t="s">
        <v>2364</v>
      </c>
      <c r="C357">
        <v>5697</v>
      </c>
      <c r="D357" t="s">
        <v>2201</v>
      </c>
      <c r="E357" t="s">
        <v>2359</v>
      </c>
      <c r="F357">
        <v>202207</v>
      </c>
      <c r="G357" t="s">
        <v>2169</v>
      </c>
      <c r="H357">
        <v>142.83000000000001</v>
      </c>
    </row>
    <row r="358" spans="1:8">
      <c r="A358">
        <v>6897</v>
      </c>
      <c r="B358" t="s">
        <v>2364</v>
      </c>
      <c r="C358">
        <v>5697</v>
      </c>
      <c r="D358" t="s">
        <v>2201</v>
      </c>
      <c r="E358" t="s">
        <v>2359</v>
      </c>
      <c r="F358">
        <v>202207</v>
      </c>
      <c r="G358" t="s">
        <v>2166</v>
      </c>
      <c r="H358">
        <v>11.83</v>
      </c>
    </row>
    <row r="359" spans="1:8">
      <c r="A359">
        <v>6897</v>
      </c>
      <c r="B359" t="s">
        <v>2364</v>
      </c>
      <c r="C359">
        <v>5697</v>
      </c>
      <c r="D359" t="s">
        <v>2201</v>
      </c>
      <c r="E359" t="s">
        <v>2359</v>
      </c>
      <c r="F359">
        <v>202207</v>
      </c>
      <c r="G359" t="s">
        <v>2167</v>
      </c>
      <c r="H359">
        <v>21.22</v>
      </c>
    </row>
    <row r="360" spans="1:8">
      <c r="A360">
        <v>6897</v>
      </c>
      <c r="B360" t="s">
        <v>2364</v>
      </c>
      <c r="C360">
        <v>5697</v>
      </c>
      <c r="D360" t="s">
        <v>2201</v>
      </c>
      <c r="E360" t="s">
        <v>2359</v>
      </c>
      <c r="F360">
        <v>202207</v>
      </c>
      <c r="G360" t="s">
        <v>2168</v>
      </c>
      <c r="H360">
        <v>14.37</v>
      </c>
    </row>
    <row r="361" spans="1:8">
      <c r="A361">
        <v>6897</v>
      </c>
      <c r="B361" t="s">
        <v>2364</v>
      </c>
      <c r="C361">
        <v>5697</v>
      </c>
      <c r="D361" t="s">
        <v>2201</v>
      </c>
      <c r="E361" t="s">
        <v>2359</v>
      </c>
      <c r="F361">
        <v>202207</v>
      </c>
      <c r="G361" t="s">
        <v>2171</v>
      </c>
      <c r="H361">
        <v>1364190.84</v>
      </c>
    </row>
    <row r="362" spans="1:8">
      <c r="A362">
        <v>6897</v>
      </c>
      <c r="B362" t="s">
        <v>2364</v>
      </c>
      <c r="C362">
        <v>5697</v>
      </c>
      <c r="D362" t="s">
        <v>2201</v>
      </c>
      <c r="E362" t="s">
        <v>2359</v>
      </c>
      <c r="F362">
        <v>202207</v>
      </c>
      <c r="G362" t="s">
        <v>190</v>
      </c>
      <c r="H362">
        <v>1553914</v>
      </c>
    </row>
    <row r="363" spans="1:8">
      <c r="A363">
        <v>6897</v>
      </c>
      <c r="B363" t="s">
        <v>2364</v>
      </c>
      <c r="C363">
        <v>5697</v>
      </c>
      <c r="D363" t="s">
        <v>2201</v>
      </c>
      <c r="E363" t="s">
        <v>2359</v>
      </c>
      <c r="F363">
        <v>202207</v>
      </c>
      <c r="G363" t="s">
        <v>191</v>
      </c>
      <c r="H363">
        <v>148143</v>
      </c>
    </row>
    <row r="364" spans="1:8">
      <c r="A364">
        <v>6897</v>
      </c>
      <c r="B364" t="s">
        <v>2364</v>
      </c>
      <c r="C364">
        <v>5697</v>
      </c>
      <c r="D364" t="s">
        <v>2201</v>
      </c>
      <c r="E364" t="s">
        <v>2359</v>
      </c>
      <c r="F364">
        <v>202207</v>
      </c>
      <c r="G364" t="s">
        <v>176</v>
      </c>
      <c r="H364">
        <v>0</v>
      </c>
    </row>
    <row r="365" spans="1:8">
      <c r="A365">
        <v>6897</v>
      </c>
      <c r="B365" t="s">
        <v>2364</v>
      </c>
      <c r="C365">
        <v>5697</v>
      </c>
      <c r="D365" t="s">
        <v>2201</v>
      </c>
      <c r="E365" t="s">
        <v>2359</v>
      </c>
      <c r="F365">
        <v>202207</v>
      </c>
      <c r="G365" t="s">
        <v>178</v>
      </c>
      <c r="H365">
        <v>4360</v>
      </c>
    </row>
    <row r="366" spans="1:8">
      <c r="A366">
        <v>6897</v>
      </c>
      <c r="B366" t="s">
        <v>2364</v>
      </c>
      <c r="C366">
        <v>5697</v>
      </c>
      <c r="D366" t="s">
        <v>2201</v>
      </c>
      <c r="E366" t="s">
        <v>2359</v>
      </c>
      <c r="F366">
        <v>202207</v>
      </c>
      <c r="G366" t="s">
        <v>180</v>
      </c>
      <c r="H366">
        <v>3246</v>
      </c>
    </row>
    <row r="367" spans="1:8">
      <c r="A367">
        <v>6897</v>
      </c>
      <c r="B367" t="s">
        <v>2364</v>
      </c>
      <c r="C367">
        <v>5697</v>
      </c>
      <c r="D367" t="s">
        <v>2201</v>
      </c>
      <c r="E367" t="s">
        <v>2359</v>
      </c>
      <c r="F367">
        <v>202207</v>
      </c>
      <c r="G367" t="s">
        <v>182</v>
      </c>
      <c r="H367">
        <v>1553914</v>
      </c>
    </row>
    <row r="368" spans="1:8">
      <c r="A368">
        <v>6897</v>
      </c>
      <c r="B368" t="s">
        <v>2364</v>
      </c>
      <c r="C368">
        <v>5697</v>
      </c>
      <c r="D368" t="s">
        <v>2201</v>
      </c>
      <c r="E368" t="s">
        <v>2359</v>
      </c>
      <c r="F368">
        <v>202207</v>
      </c>
      <c r="G368" t="s">
        <v>184</v>
      </c>
      <c r="H368">
        <v>148143</v>
      </c>
    </row>
    <row r="369" spans="1:8">
      <c r="A369">
        <v>6897</v>
      </c>
      <c r="B369" t="s">
        <v>2364</v>
      </c>
      <c r="C369">
        <v>5697</v>
      </c>
      <c r="D369" t="s">
        <v>2201</v>
      </c>
      <c r="E369" t="s">
        <v>2359</v>
      </c>
      <c r="F369">
        <v>202207</v>
      </c>
      <c r="G369" t="s">
        <v>192</v>
      </c>
      <c r="H369">
        <v>0</v>
      </c>
    </row>
    <row r="370" spans="1:8">
      <c r="A370">
        <v>6897</v>
      </c>
      <c r="B370" t="s">
        <v>2364</v>
      </c>
      <c r="C370">
        <v>5697</v>
      </c>
      <c r="D370" t="s">
        <v>2201</v>
      </c>
      <c r="E370" t="s">
        <v>2359</v>
      </c>
      <c r="F370">
        <v>202207</v>
      </c>
      <c r="G370" t="s">
        <v>2170</v>
      </c>
      <c r="H370">
        <v>15957.14</v>
      </c>
    </row>
    <row r="371" spans="1:8">
      <c r="A371">
        <v>6897</v>
      </c>
      <c r="B371" t="s">
        <v>2364</v>
      </c>
      <c r="C371">
        <v>5697</v>
      </c>
      <c r="D371" t="s">
        <v>2201</v>
      </c>
      <c r="E371" t="s">
        <v>2359</v>
      </c>
      <c r="F371">
        <v>202207</v>
      </c>
      <c r="G371" t="s">
        <v>2169</v>
      </c>
      <c r="H371">
        <v>142.83000000000001</v>
      </c>
    </row>
    <row r="372" spans="1:8">
      <c r="A372">
        <v>6897</v>
      </c>
      <c r="B372" t="s">
        <v>2364</v>
      </c>
      <c r="C372">
        <v>5697</v>
      </c>
      <c r="D372" t="s">
        <v>2201</v>
      </c>
      <c r="E372" t="s">
        <v>2359</v>
      </c>
      <c r="F372">
        <v>202207</v>
      </c>
      <c r="G372" t="s">
        <v>2166</v>
      </c>
      <c r="H372">
        <v>11.83</v>
      </c>
    </row>
    <row r="373" spans="1:8">
      <c r="A373">
        <v>6897</v>
      </c>
      <c r="B373" t="s">
        <v>2364</v>
      </c>
      <c r="C373">
        <v>5697</v>
      </c>
      <c r="D373" t="s">
        <v>2201</v>
      </c>
      <c r="E373" t="s">
        <v>2359</v>
      </c>
      <c r="F373">
        <v>202207</v>
      </c>
      <c r="G373" t="s">
        <v>2167</v>
      </c>
      <c r="H373">
        <v>21.22</v>
      </c>
    </row>
    <row r="374" spans="1:8">
      <c r="A374">
        <v>6897</v>
      </c>
      <c r="B374" t="s">
        <v>2364</v>
      </c>
      <c r="C374">
        <v>5697</v>
      </c>
      <c r="D374" t="s">
        <v>2201</v>
      </c>
      <c r="E374" t="s">
        <v>2359</v>
      </c>
      <c r="F374">
        <v>202207</v>
      </c>
      <c r="G374" t="s">
        <v>2168</v>
      </c>
      <c r="H374">
        <v>14.37</v>
      </c>
    </row>
    <row r="375" spans="1:8">
      <c r="A375">
        <v>6897</v>
      </c>
      <c r="B375" t="s">
        <v>2364</v>
      </c>
      <c r="C375">
        <v>5697</v>
      </c>
      <c r="D375" t="s">
        <v>2201</v>
      </c>
      <c r="E375" t="s">
        <v>2359</v>
      </c>
      <c r="F375">
        <v>202207</v>
      </c>
      <c r="G375" t="s">
        <v>2171</v>
      </c>
      <c r="H375">
        <v>403978.08</v>
      </c>
    </row>
    <row r="376" spans="1:8">
      <c r="A376">
        <v>6897</v>
      </c>
      <c r="B376" t="s">
        <v>2364</v>
      </c>
      <c r="C376">
        <v>5697</v>
      </c>
      <c r="D376" t="s">
        <v>2201</v>
      </c>
      <c r="E376" t="s">
        <v>2359</v>
      </c>
      <c r="F376">
        <v>202208</v>
      </c>
      <c r="G376" t="s">
        <v>190</v>
      </c>
      <c r="H376">
        <v>1454204</v>
      </c>
    </row>
    <row r="377" spans="1:8">
      <c r="A377">
        <v>6897</v>
      </c>
      <c r="B377" t="s">
        <v>2364</v>
      </c>
      <c r="C377">
        <v>5697</v>
      </c>
      <c r="D377" t="s">
        <v>2201</v>
      </c>
      <c r="E377" t="s">
        <v>2359</v>
      </c>
      <c r="F377">
        <v>202208</v>
      </c>
      <c r="G377" t="s">
        <v>191</v>
      </c>
      <c r="H377">
        <v>148392</v>
      </c>
    </row>
    <row r="378" spans="1:8">
      <c r="A378">
        <v>6897</v>
      </c>
      <c r="B378" t="s">
        <v>2364</v>
      </c>
      <c r="C378">
        <v>5697</v>
      </c>
      <c r="D378" t="s">
        <v>2201</v>
      </c>
      <c r="E378" t="s">
        <v>2359</v>
      </c>
      <c r="F378">
        <v>202208</v>
      </c>
      <c r="G378" t="s">
        <v>176</v>
      </c>
      <c r="H378">
        <v>0</v>
      </c>
    </row>
    <row r="379" spans="1:8">
      <c r="A379">
        <v>6897</v>
      </c>
      <c r="B379" t="s">
        <v>2364</v>
      </c>
      <c r="C379">
        <v>5697</v>
      </c>
      <c r="D379" t="s">
        <v>2201</v>
      </c>
      <c r="E379" t="s">
        <v>2359</v>
      </c>
      <c r="F379">
        <v>202208</v>
      </c>
      <c r="G379" t="s">
        <v>178</v>
      </c>
      <c r="H379">
        <v>4147</v>
      </c>
    </row>
    <row r="380" spans="1:8">
      <c r="A380">
        <v>6897</v>
      </c>
      <c r="B380" t="s">
        <v>2364</v>
      </c>
      <c r="C380">
        <v>5697</v>
      </c>
      <c r="D380" t="s">
        <v>2201</v>
      </c>
      <c r="E380" t="s">
        <v>2359</v>
      </c>
      <c r="F380">
        <v>202208</v>
      </c>
      <c r="G380" t="s">
        <v>180</v>
      </c>
      <c r="H380">
        <v>3283</v>
      </c>
    </row>
    <row r="381" spans="1:8">
      <c r="A381">
        <v>6897</v>
      </c>
      <c r="B381" t="s">
        <v>2364</v>
      </c>
      <c r="C381">
        <v>5697</v>
      </c>
      <c r="D381" t="s">
        <v>2201</v>
      </c>
      <c r="E381" t="s">
        <v>2359</v>
      </c>
      <c r="F381">
        <v>202208</v>
      </c>
      <c r="G381" t="s">
        <v>182</v>
      </c>
      <c r="H381">
        <v>1454204</v>
      </c>
    </row>
    <row r="382" spans="1:8">
      <c r="A382">
        <v>6897</v>
      </c>
      <c r="B382" t="s">
        <v>2364</v>
      </c>
      <c r="C382">
        <v>5697</v>
      </c>
      <c r="D382" t="s">
        <v>2201</v>
      </c>
      <c r="E382" t="s">
        <v>2359</v>
      </c>
      <c r="F382">
        <v>202208</v>
      </c>
      <c r="G382" t="s">
        <v>184</v>
      </c>
      <c r="H382">
        <v>148392</v>
      </c>
    </row>
    <row r="383" spans="1:8">
      <c r="A383">
        <v>6897</v>
      </c>
      <c r="B383" t="s">
        <v>2364</v>
      </c>
      <c r="C383">
        <v>5697</v>
      </c>
      <c r="D383" t="s">
        <v>2201</v>
      </c>
      <c r="E383" t="s">
        <v>2359</v>
      </c>
      <c r="F383">
        <v>202208</v>
      </c>
      <c r="G383" t="s">
        <v>192</v>
      </c>
      <c r="H383">
        <v>0</v>
      </c>
    </row>
    <row r="384" spans="1:8">
      <c r="A384">
        <v>6897</v>
      </c>
      <c r="B384" t="s">
        <v>2364</v>
      </c>
      <c r="C384">
        <v>5697</v>
      </c>
      <c r="D384" t="s">
        <v>2201</v>
      </c>
      <c r="E384" t="s">
        <v>2359</v>
      </c>
      <c r="F384">
        <v>202208</v>
      </c>
      <c r="G384" t="s">
        <v>2170</v>
      </c>
      <c r="H384">
        <v>19549.43</v>
      </c>
    </row>
    <row r="385" spans="1:8">
      <c r="A385">
        <v>6897</v>
      </c>
      <c r="B385" t="s">
        <v>2364</v>
      </c>
      <c r="C385">
        <v>5697</v>
      </c>
      <c r="D385" t="s">
        <v>2201</v>
      </c>
      <c r="E385" t="s">
        <v>2359</v>
      </c>
      <c r="F385">
        <v>202208</v>
      </c>
      <c r="G385" t="s">
        <v>2169</v>
      </c>
      <c r="H385">
        <v>142.83000000000001</v>
      </c>
    </row>
    <row r="386" spans="1:8">
      <c r="A386">
        <v>6897</v>
      </c>
      <c r="B386" t="s">
        <v>2364</v>
      </c>
      <c r="C386">
        <v>5697</v>
      </c>
      <c r="D386" t="s">
        <v>2201</v>
      </c>
      <c r="E386" t="s">
        <v>2359</v>
      </c>
      <c r="F386">
        <v>202208</v>
      </c>
      <c r="G386" t="s">
        <v>2166</v>
      </c>
      <c r="H386">
        <v>11.83</v>
      </c>
    </row>
    <row r="387" spans="1:8">
      <c r="A387">
        <v>6897</v>
      </c>
      <c r="B387" t="s">
        <v>2364</v>
      </c>
      <c r="C387">
        <v>5697</v>
      </c>
      <c r="D387" t="s">
        <v>2201</v>
      </c>
      <c r="E387" t="s">
        <v>2359</v>
      </c>
      <c r="F387">
        <v>202208</v>
      </c>
      <c r="G387" t="s">
        <v>2167</v>
      </c>
      <c r="H387">
        <v>21.22</v>
      </c>
    </row>
    <row r="388" spans="1:8">
      <c r="A388">
        <v>6897</v>
      </c>
      <c r="B388" t="s">
        <v>2364</v>
      </c>
      <c r="C388">
        <v>5697</v>
      </c>
      <c r="D388" t="s">
        <v>2201</v>
      </c>
      <c r="E388" t="s">
        <v>2359</v>
      </c>
      <c r="F388">
        <v>202208</v>
      </c>
      <c r="G388" t="s">
        <v>2168</v>
      </c>
      <c r="H388">
        <v>14.37</v>
      </c>
    </row>
    <row r="389" spans="1:8">
      <c r="A389">
        <v>6897</v>
      </c>
      <c r="B389" t="s">
        <v>2364</v>
      </c>
      <c r="C389">
        <v>5697</v>
      </c>
      <c r="D389" t="s">
        <v>2201</v>
      </c>
      <c r="E389" t="s">
        <v>2359</v>
      </c>
      <c r="F389">
        <v>202208</v>
      </c>
      <c r="G389" t="s">
        <v>2171</v>
      </c>
      <c r="H389">
        <v>390208.37</v>
      </c>
    </row>
    <row r="390" spans="1:8">
      <c r="A390">
        <v>6897</v>
      </c>
      <c r="B390" t="s">
        <v>2364</v>
      </c>
      <c r="C390">
        <v>5697</v>
      </c>
      <c r="D390" t="s">
        <v>2201</v>
      </c>
      <c r="E390" t="s">
        <v>2359</v>
      </c>
      <c r="F390">
        <v>202208</v>
      </c>
      <c r="G390" t="s">
        <v>190</v>
      </c>
      <c r="H390">
        <v>4989226</v>
      </c>
    </row>
    <row r="391" spans="1:8">
      <c r="A391">
        <v>6897</v>
      </c>
      <c r="B391" t="s">
        <v>2364</v>
      </c>
      <c r="C391">
        <v>5697</v>
      </c>
      <c r="D391" t="s">
        <v>2201</v>
      </c>
      <c r="E391" t="s">
        <v>2359</v>
      </c>
      <c r="F391">
        <v>202208</v>
      </c>
      <c r="G391" t="s">
        <v>191</v>
      </c>
      <c r="H391">
        <v>567126</v>
      </c>
    </row>
    <row r="392" spans="1:8">
      <c r="A392">
        <v>6897</v>
      </c>
      <c r="B392" t="s">
        <v>2364</v>
      </c>
      <c r="C392">
        <v>5697</v>
      </c>
      <c r="D392" t="s">
        <v>2201</v>
      </c>
      <c r="E392" t="s">
        <v>2359</v>
      </c>
      <c r="F392">
        <v>202208</v>
      </c>
      <c r="G392" t="s">
        <v>176</v>
      </c>
      <c r="H392">
        <v>0</v>
      </c>
    </row>
    <row r="393" spans="1:8">
      <c r="A393">
        <v>6897</v>
      </c>
      <c r="B393" t="s">
        <v>2364</v>
      </c>
      <c r="C393">
        <v>5697</v>
      </c>
      <c r="D393" t="s">
        <v>2201</v>
      </c>
      <c r="E393" t="s">
        <v>2359</v>
      </c>
      <c r="F393">
        <v>202208</v>
      </c>
      <c r="G393" t="s">
        <v>178</v>
      </c>
      <c r="H393">
        <v>14500</v>
      </c>
    </row>
    <row r="394" spans="1:8">
      <c r="A394">
        <v>6897</v>
      </c>
      <c r="B394" t="s">
        <v>2364</v>
      </c>
      <c r="C394">
        <v>5697</v>
      </c>
      <c r="D394" t="s">
        <v>2201</v>
      </c>
      <c r="E394" t="s">
        <v>2359</v>
      </c>
      <c r="F394">
        <v>202208</v>
      </c>
      <c r="G394" t="s">
        <v>180</v>
      </c>
      <c r="H394">
        <v>12584</v>
      </c>
    </row>
    <row r="395" spans="1:8">
      <c r="A395">
        <v>6897</v>
      </c>
      <c r="B395" t="s">
        <v>2364</v>
      </c>
      <c r="C395">
        <v>5697</v>
      </c>
      <c r="D395" t="s">
        <v>2201</v>
      </c>
      <c r="E395" t="s">
        <v>2359</v>
      </c>
      <c r="F395">
        <v>202208</v>
      </c>
      <c r="G395" t="s">
        <v>182</v>
      </c>
      <c r="H395">
        <v>5044384</v>
      </c>
    </row>
    <row r="396" spans="1:8">
      <c r="A396">
        <v>6897</v>
      </c>
      <c r="B396" t="s">
        <v>2364</v>
      </c>
      <c r="C396">
        <v>5697</v>
      </c>
      <c r="D396" t="s">
        <v>2201</v>
      </c>
      <c r="E396" t="s">
        <v>2359</v>
      </c>
      <c r="F396">
        <v>202208</v>
      </c>
      <c r="G396" t="s">
        <v>184</v>
      </c>
      <c r="H396">
        <v>581563</v>
      </c>
    </row>
    <row r="397" spans="1:8">
      <c r="A397">
        <v>6897</v>
      </c>
      <c r="B397" t="s">
        <v>2364</v>
      </c>
      <c r="C397">
        <v>5697</v>
      </c>
      <c r="D397" t="s">
        <v>2201</v>
      </c>
      <c r="E397" t="s">
        <v>2359</v>
      </c>
      <c r="F397">
        <v>202208</v>
      </c>
      <c r="G397" t="s">
        <v>192</v>
      </c>
      <c r="H397">
        <v>0</v>
      </c>
    </row>
    <row r="398" spans="1:8">
      <c r="A398">
        <v>6897</v>
      </c>
      <c r="B398" t="s">
        <v>2364</v>
      </c>
      <c r="C398">
        <v>5697</v>
      </c>
      <c r="D398" t="s">
        <v>2201</v>
      </c>
      <c r="E398" t="s">
        <v>2359</v>
      </c>
      <c r="F398">
        <v>202208</v>
      </c>
      <c r="G398" t="s">
        <v>2170</v>
      </c>
      <c r="H398">
        <v>69252.3</v>
      </c>
    </row>
    <row r="399" spans="1:8">
      <c r="A399">
        <v>6897</v>
      </c>
      <c r="B399" t="s">
        <v>2364</v>
      </c>
      <c r="C399">
        <v>5697</v>
      </c>
      <c r="D399" t="s">
        <v>2201</v>
      </c>
      <c r="E399" t="s">
        <v>2359</v>
      </c>
      <c r="F399">
        <v>202208</v>
      </c>
      <c r="G399" t="s">
        <v>186</v>
      </c>
      <c r="H399">
        <v>139643</v>
      </c>
    </row>
    <row r="400" spans="1:8">
      <c r="A400">
        <v>6897</v>
      </c>
      <c r="B400" t="s">
        <v>2364</v>
      </c>
      <c r="C400">
        <v>5697</v>
      </c>
      <c r="D400" t="s">
        <v>2201</v>
      </c>
      <c r="E400" t="s">
        <v>2359</v>
      </c>
      <c r="F400">
        <v>202208</v>
      </c>
      <c r="G400" t="s">
        <v>2169</v>
      </c>
      <c r="H400">
        <v>142.83000000000001</v>
      </c>
    </row>
    <row r="401" spans="1:8">
      <c r="A401">
        <v>6897</v>
      </c>
      <c r="B401" t="s">
        <v>2364</v>
      </c>
      <c r="C401">
        <v>5697</v>
      </c>
      <c r="D401" t="s">
        <v>2201</v>
      </c>
      <c r="E401" t="s">
        <v>2359</v>
      </c>
      <c r="F401">
        <v>202208</v>
      </c>
      <c r="G401" t="s">
        <v>2166</v>
      </c>
      <c r="H401">
        <v>11.83</v>
      </c>
    </row>
    <row r="402" spans="1:8">
      <c r="A402">
        <v>6897</v>
      </c>
      <c r="B402" t="s">
        <v>2364</v>
      </c>
      <c r="C402">
        <v>5697</v>
      </c>
      <c r="D402" t="s">
        <v>2201</v>
      </c>
      <c r="E402" t="s">
        <v>2359</v>
      </c>
      <c r="F402">
        <v>202208</v>
      </c>
      <c r="G402" t="s">
        <v>2167</v>
      </c>
      <c r="H402">
        <v>21.22</v>
      </c>
    </row>
    <row r="403" spans="1:8">
      <c r="A403">
        <v>6897</v>
      </c>
      <c r="B403" t="s">
        <v>2364</v>
      </c>
      <c r="C403">
        <v>5697</v>
      </c>
      <c r="D403" t="s">
        <v>2201</v>
      </c>
      <c r="E403" t="s">
        <v>2359</v>
      </c>
      <c r="F403">
        <v>202208</v>
      </c>
      <c r="G403" t="s">
        <v>2168</v>
      </c>
      <c r="H403">
        <v>14.37</v>
      </c>
    </row>
    <row r="404" spans="1:8">
      <c r="A404">
        <v>6897</v>
      </c>
      <c r="B404" t="s">
        <v>2364</v>
      </c>
      <c r="C404">
        <v>5697</v>
      </c>
      <c r="D404" t="s">
        <v>2201</v>
      </c>
      <c r="E404" t="s">
        <v>2359</v>
      </c>
      <c r="F404">
        <v>202208</v>
      </c>
      <c r="G404" t="s">
        <v>2171</v>
      </c>
      <c r="H404">
        <v>1382281.76</v>
      </c>
    </row>
    <row r="405" spans="1:8">
      <c r="A405">
        <v>6897</v>
      </c>
      <c r="B405" t="s">
        <v>2364</v>
      </c>
      <c r="C405">
        <v>5697</v>
      </c>
      <c r="D405" t="s">
        <v>2201</v>
      </c>
      <c r="E405" t="s">
        <v>2359</v>
      </c>
      <c r="F405">
        <v>202208</v>
      </c>
      <c r="G405" t="s">
        <v>190</v>
      </c>
      <c r="H405">
        <v>652214</v>
      </c>
    </row>
    <row r="406" spans="1:8">
      <c r="A406">
        <v>6897</v>
      </c>
      <c r="B406" t="s">
        <v>2364</v>
      </c>
      <c r="C406">
        <v>5697</v>
      </c>
      <c r="D406" t="s">
        <v>2201</v>
      </c>
      <c r="E406" t="s">
        <v>2359</v>
      </c>
      <c r="F406">
        <v>202208</v>
      </c>
      <c r="G406" t="s">
        <v>191</v>
      </c>
      <c r="H406">
        <v>110750</v>
      </c>
    </row>
    <row r="407" spans="1:8">
      <c r="A407">
        <v>6897</v>
      </c>
      <c r="B407" t="s">
        <v>2364</v>
      </c>
      <c r="C407">
        <v>5697</v>
      </c>
      <c r="D407" t="s">
        <v>2201</v>
      </c>
      <c r="E407" t="s">
        <v>2359</v>
      </c>
      <c r="F407">
        <v>202208</v>
      </c>
      <c r="G407" t="s">
        <v>176</v>
      </c>
      <c r="H407">
        <v>0</v>
      </c>
    </row>
    <row r="408" spans="1:8">
      <c r="A408">
        <v>6897</v>
      </c>
      <c r="B408" t="s">
        <v>2364</v>
      </c>
      <c r="C408">
        <v>5697</v>
      </c>
      <c r="D408" t="s">
        <v>2201</v>
      </c>
      <c r="E408" t="s">
        <v>2359</v>
      </c>
      <c r="F408">
        <v>202208</v>
      </c>
      <c r="G408" t="s">
        <v>178</v>
      </c>
      <c r="H408">
        <v>2800</v>
      </c>
    </row>
    <row r="409" spans="1:8">
      <c r="A409">
        <v>6897</v>
      </c>
      <c r="B409" t="s">
        <v>2364</v>
      </c>
      <c r="C409">
        <v>5697</v>
      </c>
      <c r="D409" t="s">
        <v>2201</v>
      </c>
      <c r="E409" t="s">
        <v>2359</v>
      </c>
      <c r="F409">
        <v>202208</v>
      </c>
      <c r="G409" t="s">
        <v>180</v>
      </c>
      <c r="H409">
        <v>2990</v>
      </c>
    </row>
    <row r="410" spans="1:8">
      <c r="A410">
        <v>6897</v>
      </c>
      <c r="B410" t="s">
        <v>2364</v>
      </c>
      <c r="C410">
        <v>5697</v>
      </c>
      <c r="D410" t="s">
        <v>2201</v>
      </c>
      <c r="E410" t="s">
        <v>2359</v>
      </c>
      <c r="F410">
        <v>202208</v>
      </c>
      <c r="G410" t="s">
        <v>182</v>
      </c>
      <c r="H410">
        <v>652214</v>
      </c>
    </row>
    <row r="411" spans="1:8">
      <c r="A411">
        <v>6897</v>
      </c>
      <c r="B411" t="s">
        <v>2364</v>
      </c>
      <c r="C411">
        <v>5697</v>
      </c>
      <c r="D411" t="s">
        <v>2201</v>
      </c>
      <c r="E411" t="s">
        <v>2359</v>
      </c>
      <c r="F411">
        <v>202208</v>
      </c>
      <c r="G411" t="s">
        <v>184</v>
      </c>
      <c r="H411">
        <v>110750</v>
      </c>
    </row>
    <row r="412" spans="1:8">
      <c r="A412">
        <v>6897</v>
      </c>
      <c r="B412" t="s">
        <v>2364</v>
      </c>
      <c r="C412">
        <v>5697</v>
      </c>
      <c r="D412" t="s">
        <v>2201</v>
      </c>
      <c r="E412" t="s">
        <v>2359</v>
      </c>
      <c r="F412">
        <v>202208</v>
      </c>
      <c r="G412" t="s">
        <v>192</v>
      </c>
      <c r="H412">
        <v>0</v>
      </c>
    </row>
    <row r="413" spans="1:8">
      <c r="A413">
        <v>6897</v>
      </c>
      <c r="B413" t="s">
        <v>2364</v>
      </c>
      <c r="C413">
        <v>5697</v>
      </c>
      <c r="D413" t="s">
        <v>2201</v>
      </c>
      <c r="E413" t="s">
        <v>2359</v>
      </c>
      <c r="F413">
        <v>202208</v>
      </c>
      <c r="G413" t="s">
        <v>2170</v>
      </c>
      <c r="H413">
        <v>11419.23</v>
      </c>
    </row>
    <row r="414" spans="1:8">
      <c r="A414">
        <v>6897</v>
      </c>
      <c r="B414" t="s">
        <v>2364</v>
      </c>
      <c r="C414">
        <v>5697</v>
      </c>
      <c r="D414" t="s">
        <v>2201</v>
      </c>
      <c r="E414" t="s">
        <v>2359</v>
      </c>
      <c r="F414">
        <v>202208</v>
      </c>
      <c r="G414" t="s">
        <v>2169</v>
      </c>
      <c r="H414">
        <v>142.83000000000001</v>
      </c>
    </row>
    <row r="415" spans="1:8">
      <c r="A415">
        <v>6897</v>
      </c>
      <c r="B415" t="s">
        <v>2364</v>
      </c>
      <c r="C415">
        <v>5697</v>
      </c>
      <c r="D415" t="s">
        <v>2201</v>
      </c>
      <c r="E415" t="s">
        <v>2359</v>
      </c>
      <c r="F415">
        <v>202208</v>
      </c>
      <c r="G415" t="s">
        <v>2166</v>
      </c>
      <c r="H415">
        <v>11.83</v>
      </c>
    </row>
    <row r="416" spans="1:8">
      <c r="A416">
        <v>6897</v>
      </c>
      <c r="B416" t="s">
        <v>2364</v>
      </c>
      <c r="C416">
        <v>5697</v>
      </c>
      <c r="D416" t="s">
        <v>2201</v>
      </c>
      <c r="E416" t="s">
        <v>2359</v>
      </c>
      <c r="F416">
        <v>202208</v>
      </c>
      <c r="G416" t="s">
        <v>2167</v>
      </c>
      <c r="H416">
        <v>21.22</v>
      </c>
    </row>
    <row r="417" spans="1:8">
      <c r="A417">
        <v>6897</v>
      </c>
      <c r="B417" t="s">
        <v>2364</v>
      </c>
      <c r="C417">
        <v>5697</v>
      </c>
      <c r="D417" t="s">
        <v>2201</v>
      </c>
      <c r="E417" t="s">
        <v>2359</v>
      </c>
      <c r="F417">
        <v>202208</v>
      </c>
      <c r="G417" t="s">
        <v>2168</v>
      </c>
      <c r="H417">
        <v>14.37</v>
      </c>
    </row>
    <row r="418" spans="1:8">
      <c r="A418">
        <v>6897</v>
      </c>
      <c r="B418" t="s">
        <v>2364</v>
      </c>
      <c r="C418">
        <v>5697</v>
      </c>
      <c r="D418" t="s">
        <v>2201</v>
      </c>
      <c r="E418" t="s">
        <v>2359</v>
      </c>
      <c r="F418">
        <v>202208</v>
      </c>
      <c r="G418" t="s">
        <v>2171</v>
      </c>
      <c r="H418">
        <v>227928.95</v>
      </c>
    </row>
    <row r="419" spans="1:8">
      <c r="A419">
        <v>6897</v>
      </c>
      <c r="B419" t="s">
        <v>2364</v>
      </c>
      <c r="C419">
        <v>5697</v>
      </c>
      <c r="D419" t="s">
        <v>2201</v>
      </c>
      <c r="E419" t="s">
        <v>2359</v>
      </c>
      <c r="F419">
        <v>202106</v>
      </c>
      <c r="G419" t="s">
        <v>190</v>
      </c>
      <c r="H419">
        <v>777204</v>
      </c>
    </row>
    <row r="420" spans="1:8">
      <c r="A420">
        <v>6897</v>
      </c>
      <c r="B420" t="s">
        <v>2364</v>
      </c>
      <c r="C420">
        <v>5697</v>
      </c>
      <c r="D420" t="s">
        <v>2201</v>
      </c>
      <c r="E420" t="s">
        <v>2359</v>
      </c>
      <c r="F420">
        <v>202106</v>
      </c>
      <c r="G420" t="s">
        <v>191</v>
      </c>
      <c r="H420">
        <v>105136</v>
      </c>
    </row>
    <row r="421" spans="1:8">
      <c r="A421">
        <v>6897</v>
      </c>
      <c r="B421" t="s">
        <v>2364</v>
      </c>
      <c r="C421">
        <v>5697</v>
      </c>
      <c r="D421" t="s">
        <v>2201</v>
      </c>
      <c r="E421" t="s">
        <v>2359</v>
      </c>
      <c r="F421">
        <v>202106</v>
      </c>
      <c r="G421" t="s">
        <v>176</v>
      </c>
      <c r="H421">
        <v>-12428.8</v>
      </c>
    </row>
    <row r="422" spans="1:8">
      <c r="A422">
        <v>6897</v>
      </c>
      <c r="B422" t="s">
        <v>2364</v>
      </c>
      <c r="C422">
        <v>5697</v>
      </c>
      <c r="D422" t="s">
        <v>2201</v>
      </c>
      <c r="E422" t="s">
        <v>2359</v>
      </c>
      <c r="F422">
        <v>202106</v>
      </c>
      <c r="G422" t="s">
        <v>178</v>
      </c>
      <c r="H422">
        <v>2644</v>
      </c>
    </row>
    <row r="423" spans="1:8">
      <c r="A423">
        <v>6897</v>
      </c>
      <c r="B423" t="s">
        <v>2364</v>
      </c>
      <c r="C423">
        <v>5697</v>
      </c>
      <c r="D423" t="s">
        <v>2201</v>
      </c>
      <c r="E423" t="s">
        <v>2359</v>
      </c>
      <c r="F423">
        <v>202106</v>
      </c>
      <c r="G423" t="s">
        <v>180</v>
      </c>
      <c r="H423">
        <v>2589</v>
      </c>
    </row>
    <row r="424" spans="1:8">
      <c r="A424">
        <v>6897</v>
      </c>
      <c r="B424" t="s">
        <v>2364</v>
      </c>
      <c r="C424">
        <v>5697</v>
      </c>
      <c r="D424" t="s">
        <v>2201</v>
      </c>
      <c r="E424" t="s">
        <v>2359</v>
      </c>
      <c r="F424">
        <v>202106</v>
      </c>
      <c r="G424" t="s">
        <v>182</v>
      </c>
      <c r="H424">
        <v>777204</v>
      </c>
    </row>
    <row r="425" spans="1:8">
      <c r="A425">
        <v>6897</v>
      </c>
      <c r="B425" t="s">
        <v>2364</v>
      </c>
      <c r="C425">
        <v>5697</v>
      </c>
      <c r="D425" t="s">
        <v>2201</v>
      </c>
      <c r="E425" t="s">
        <v>2359</v>
      </c>
      <c r="F425">
        <v>202106</v>
      </c>
      <c r="G425" t="s">
        <v>184</v>
      </c>
      <c r="H425">
        <v>105136</v>
      </c>
    </row>
    <row r="426" spans="1:8">
      <c r="A426">
        <v>6897</v>
      </c>
      <c r="B426" t="s">
        <v>2364</v>
      </c>
      <c r="C426">
        <v>5697</v>
      </c>
      <c r="D426" t="s">
        <v>2201</v>
      </c>
      <c r="E426" t="s">
        <v>2359</v>
      </c>
      <c r="F426">
        <v>202106</v>
      </c>
      <c r="G426" t="s">
        <v>192</v>
      </c>
      <c r="H426">
        <v>0</v>
      </c>
    </row>
    <row r="427" spans="1:8">
      <c r="A427">
        <v>6897</v>
      </c>
      <c r="B427" t="s">
        <v>2364</v>
      </c>
      <c r="C427">
        <v>5697</v>
      </c>
      <c r="D427" t="s">
        <v>2201</v>
      </c>
      <c r="E427" t="s">
        <v>2359</v>
      </c>
      <c r="F427">
        <v>202106</v>
      </c>
      <c r="G427" t="s">
        <v>2170</v>
      </c>
      <c r="H427">
        <v>15623.01</v>
      </c>
    </row>
    <row r="428" spans="1:8">
      <c r="A428">
        <v>6897</v>
      </c>
      <c r="B428" t="s">
        <v>2364</v>
      </c>
      <c r="C428">
        <v>5697</v>
      </c>
      <c r="D428" t="s">
        <v>2201</v>
      </c>
      <c r="E428" t="s">
        <v>2359</v>
      </c>
      <c r="F428">
        <v>202106</v>
      </c>
      <c r="G428" t="s">
        <v>2169</v>
      </c>
      <c r="H428">
        <v>119.33</v>
      </c>
    </row>
    <row r="429" spans="1:8">
      <c r="A429">
        <v>6897</v>
      </c>
      <c r="B429" t="s">
        <v>2364</v>
      </c>
      <c r="C429">
        <v>5697</v>
      </c>
      <c r="D429" t="s">
        <v>2201</v>
      </c>
      <c r="E429" t="s">
        <v>2359</v>
      </c>
      <c r="F429">
        <v>202106</v>
      </c>
      <c r="G429" t="s">
        <v>2166</v>
      </c>
      <c r="H429">
        <v>12.33</v>
      </c>
    </row>
    <row r="430" spans="1:8">
      <c r="A430">
        <v>6897</v>
      </c>
      <c r="B430" t="s">
        <v>2364</v>
      </c>
      <c r="C430">
        <v>5697</v>
      </c>
      <c r="D430" t="s">
        <v>2201</v>
      </c>
      <c r="E430" t="s">
        <v>2359</v>
      </c>
      <c r="F430">
        <v>202106</v>
      </c>
      <c r="G430" t="s">
        <v>2167</v>
      </c>
      <c r="H430">
        <v>23.94</v>
      </c>
    </row>
    <row r="431" spans="1:8">
      <c r="A431">
        <v>6897</v>
      </c>
      <c r="B431" t="s">
        <v>2364</v>
      </c>
      <c r="C431">
        <v>5697</v>
      </c>
      <c r="D431" t="s">
        <v>2201</v>
      </c>
      <c r="E431" t="s">
        <v>2359</v>
      </c>
      <c r="F431">
        <v>202106</v>
      </c>
      <c r="G431" t="s">
        <v>2168</v>
      </c>
      <c r="H431">
        <v>10.17</v>
      </c>
    </row>
    <row r="432" spans="1:8">
      <c r="A432">
        <v>6897</v>
      </c>
      <c r="B432" t="s">
        <v>2364</v>
      </c>
      <c r="C432">
        <v>5697</v>
      </c>
      <c r="D432" t="s">
        <v>2201</v>
      </c>
      <c r="E432" t="s">
        <v>2359</v>
      </c>
      <c r="F432">
        <v>202106</v>
      </c>
      <c r="G432" t="s">
        <v>2171</v>
      </c>
      <c r="H432">
        <v>239149.44</v>
      </c>
    </row>
    <row r="433" spans="1:8">
      <c r="A433">
        <v>6897</v>
      </c>
      <c r="B433" t="s">
        <v>2364</v>
      </c>
      <c r="C433">
        <v>5697</v>
      </c>
      <c r="D433" t="s">
        <v>2201</v>
      </c>
      <c r="E433" t="s">
        <v>2359</v>
      </c>
      <c r="F433">
        <v>202106</v>
      </c>
      <c r="G433" t="s">
        <v>190</v>
      </c>
      <c r="H433">
        <v>6436097</v>
      </c>
    </row>
    <row r="434" spans="1:8">
      <c r="A434">
        <v>6897</v>
      </c>
      <c r="B434" t="s">
        <v>2364</v>
      </c>
      <c r="C434">
        <v>5697</v>
      </c>
      <c r="D434" t="s">
        <v>2201</v>
      </c>
      <c r="E434" t="s">
        <v>2359</v>
      </c>
      <c r="F434">
        <v>202106</v>
      </c>
      <c r="G434" t="s">
        <v>191</v>
      </c>
      <c r="H434">
        <v>626331</v>
      </c>
    </row>
    <row r="435" spans="1:8">
      <c r="A435">
        <v>6897</v>
      </c>
      <c r="B435" t="s">
        <v>2364</v>
      </c>
      <c r="C435">
        <v>5697</v>
      </c>
      <c r="D435" t="s">
        <v>2201</v>
      </c>
      <c r="E435" t="s">
        <v>2359</v>
      </c>
      <c r="F435">
        <v>202106</v>
      </c>
      <c r="G435" t="s">
        <v>176</v>
      </c>
      <c r="H435">
        <v>0</v>
      </c>
    </row>
    <row r="436" spans="1:8">
      <c r="A436">
        <v>6897</v>
      </c>
      <c r="B436" t="s">
        <v>2364</v>
      </c>
      <c r="C436">
        <v>5697</v>
      </c>
      <c r="D436" t="s">
        <v>2201</v>
      </c>
      <c r="E436" t="s">
        <v>2359</v>
      </c>
      <c r="F436">
        <v>202106</v>
      </c>
      <c r="G436" t="s">
        <v>178</v>
      </c>
      <c r="H436">
        <v>17760</v>
      </c>
    </row>
    <row r="437" spans="1:8">
      <c r="A437">
        <v>6897</v>
      </c>
      <c r="B437" t="s">
        <v>2364</v>
      </c>
      <c r="C437">
        <v>5697</v>
      </c>
      <c r="D437" t="s">
        <v>2201</v>
      </c>
      <c r="E437" t="s">
        <v>2359</v>
      </c>
      <c r="F437">
        <v>202106</v>
      </c>
      <c r="G437" t="s">
        <v>180</v>
      </c>
      <c r="H437">
        <v>15120</v>
      </c>
    </row>
    <row r="438" spans="1:8">
      <c r="A438">
        <v>6897</v>
      </c>
      <c r="B438" t="s">
        <v>2364</v>
      </c>
      <c r="C438">
        <v>5697</v>
      </c>
      <c r="D438" t="s">
        <v>2201</v>
      </c>
      <c r="E438" t="s">
        <v>2359</v>
      </c>
      <c r="F438">
        <v>202106</v>
      </c>
      <c r="G438" t="s">
        <v>182</v>
      </c>
      <c r="H438">
        <v>6572127</v>
      </c>
    </row>
    <row r="439" spans="1:8">
      <c r="A439">
        <v>6897</v>
      </c>
      <c r="B439" t="s">
        <v>2364</v>
      </c>
      <c r="C439">
        <v>5697</v>
      </c>
      <c r="D439" t="s">
        <v>2201</v>
      </c>
      <c r="E439" t="s">
        <v>2359</v>
      </c>
      <c r="F439">
        <v>202106</v>
      </c>
      <c r="G439" t="s">
        <v>184</v>
      </c>
      <c r="H439">
        <v>639931</v>
      </c>
    </row>
    <row r="440" spans="1:8">
      <c r="A440">
        <v>6897</v>
      </c>
      <c r="B440" t="s">
        <v>2364</v>
      </c>
      <c r="C440">
        <v>5697</v>
      </c>
      <c r="D440" t="s">
        <v>2201</v>
      </c>
      <c r="E440" t="s">
        <v>2359</v>
      </c>
      <c r="F440">
        <v>202106</v>
      </c>
      <c r="G440" t="s">
        <v>192</v>
      </c>
      <c r="H440">
        <v>0</v>
      </c>
    </row>
    <row r="441" spans="1:8">
      <c r="A441">
        <v>6897</v>
      </c>
      <c r="B441" t="s">
        <v>2364</v>
      </c>
      <c r="C441">
        <v>5697</v>
      </c>
      <c r="D441" t="s">
        <v>2201</v>
      </c>
      <c r="E441" t="s">
        <v>2359</v>
      </c>
      <c r="F441">
        <v>202106</v>
      </c>
      <c r="G441" t="s">
        <v>2170</v>
      </c>
      <c r="H441">
        <v>112750.61</v>
      </c>
    </row>
    <row r="442" spans="1:8">
      <c r="A442">
        <v>6897</v>
      </c>
      <c r="B442" t="s">
        <v>2364</v>
      </c>
      <c r="C442">
        <v>5697</v>
      </c>
      <c r="D442" t="s">
        <v>2201</v>
      </c>
      <c r="E442" t="s">
        <v>2359</v>
      </c>
      <c r="F442">
        <v>202106</v>
      </c>
      <c r="G442" t="s">
        <v>186</v>
      </c>
      <c r="H442">
        <v>153272</v>
      </c>
    </row>
    <row r="443" spans="1:8">
      <c r="A443">
        <v>6897</v>
      </c>
      <c r="B443" t="s">
        <v>2364</v>
      </c>
      <c r="C443">
        <v>5697</v>
      </c>
      <c r="D443" t="s">
        <v>2201</v>
      </c>
      <c r="E443" t="s">
        <v>2359</v>
      </c>
      <c r="F443">
        <v>202106</v>
      </c>
      <c r="G443" t="s">
        <v>2169</v>
      </c>
      <c r="H443">
        <v>119.33</v>
      </c>
    </row>
    <row r="444" spans="1:8">
      <c r="A444">
        <v>6897</v>
      </c>
      <c r="B444" t="s">
        <v>2364</v>
      </c>
      <c r="C444">
        <v>5697</v>
      </c>
      <c r="D444" t="s">
        <v>2201</v>
      </c>
      <c r="E444" t="s">
        <v>2359</v>
      </c>
      <c r="F444">
        <v>202106</v>
      </c>
      <c r="G444" t="s">
        <v>2166</v>
      </c>
      <c r="H444">
        <v>12.33</v>
      </c>
    </row>
    <row r="445" spans="1:8">
      <c r="A445">
        <v>6897</v>
      </c>
      <c r="B445" t="s">
        <v>2364</v>
      </c>
      <c r="C445">
        <v>5697</v>
      </c>
      <c r="D445" t="s">
        <v>2201</v>
      </c>
      <c r="E445" t="s">
        <v>2359</v>
      </c>
      <c r="F445">
        <v>202106</v>
      </c>
      <c r="G445" t="s">
        <v>2167</v>
      </c>
      <c r="H445">
        <v>23.94</v>
      </c>
    </row>
    <row r="446" spans="1:8">
      <c r="A446">
        <v>6897</v>
      </c>
      <c r="B446" t="s">
        <v>2364</v>
      </c>
      <c r="C446">
        <v>5697</v>
      </c>
      <c r="D446" t="s">
        <v>2201</v>
      </c>
      <c r="E446" t="s">
        <v>2359</v>
      </c>
      <c r="F446">
        <v>202106</v>
      </c>
      <c r="G446" t="s">
        <v>2168</v>
      </c>
      <c r="H446">
        <v>10.17</v>
      </c>
    </row>
    <row r="447" spans="1:8">
      <c r="A447">
        <v>6897</v>
      </c>
      <c r="B447" t="s">
        <v>2364</v>
      </c>
      <c r="C447">
        <v>5697</v>
      </c>
      <c r="D447" t="s">
        <v>2201</v>
      </c>
      <c r="E447" t="s">
        <v>2359</v>
      </c>
      <c r="F447">
        <v>202106</v>
      </c>
      <c r="G447" t="s">
        <v>2171</v>
      </c>
      <c r="H447">
        <v>1815629.79</v>
      </c>
    </row>
    <row r="448" spans="1:8">
      <c r="A448">
        <v>6897</v>
      </c>
      <c r="B448" t="s">
        <v>2364</v>
      </c>
      <c r="C448">
        <v>5697</v>
      </c>
      <c r="D448" t="s">
        <v>2201</v>
      </c>
      <c r="E448" t="s">
        <v>2359</v>
      </c>
      <c r="F448">
        <v>202107</v>
      </c>
      <c r="G448" t="s">
        <v>190</v>
      </c>
      <c r="H448">
        <v>805330</v>
      </c>
    </row>
    <row r="449" spans="1:8">
      <c r="A449">
        <v>6897</v>
      </c>
      <c r="B449" t="s">
        <v>2364</v>
      </c>
      <c r="C449">
        <v>5697</v>
      </c>
      <c r="D449" t="s">
        <v>2201</v>
      </c>
      <c r="E449" t="s">
        <v>2359</v>
      </c>
      <c r="F449">
        <v>202107</v>
      </c>
      <c r="G449" t="s">
        <v>191</v>
      </c>
      <c r="H449">
        <v>108471</v>
      </c>
    </row>
    <row r="450" spans="1:8">
      <c r="A450">
        <v>6897</v>
      </c>
      <c r="B450" t="s">
        <v>2364</v>
      </c>
      <c r="C450">
        <v>5697</v>
      </c>
      <c r="D450" t="s">
        <v>2201</v>
      </c>
      <c r="E450" t="s">
        <v>2359</v>
      </c>
      <c r="F450">
        <v>202107</v>
      </c>
      <c r="G450" t="s">
        <v>176</v>
      </c>
      <c r="H450">
        <v>0</v>
      </c>
    </row>
    <row r="451" spans="1:8">
      <c r="A451">
        <v>6897</v>
      </c>
      <c r="B451" t="s">
        <v>2364</v>
      </c>
      <c r="C451">
        <v>5697</v>
      </c>
      <c r="D451" t="s">
        <v>2201</v>
      </c>
      <c r="E451" t="s">
        <v>2359</v>
      </c>
      <c r="F451">
        <v>202107</v>
      </c>
      <c r="G451" t="s">
        <v>178</v>
      </c>
      <c r="H451">
        <v>2791</v>
      </c>
    </row>
    <row r="452" spans="1:8">
      <c r="A452">
        <v>6897</v>
      </c>
      <c r="B452" t="s">
        <v>2364</v>
      </c>
      <c r="C452">
        <v>5697</v>
      </c>
      <c r="D452" t="s">
        <v>2201</v>
      </c>
      <c r="E452" t="s">
        <v>2359</v>
      </c>
      <c r="F452">
        <v>202107</v>
      </c>
      <c r="G452" t="s">
        <v>180</v>
      </c>
      <c r="H452">
        <v>2618</v>
      </c>
    </row>
    <row r="453" spans="1:8">
      <c r="A453">
        <v>6897</v>
      </c>
      <c r="B453" t="s">
        <v>2364</v>
      </c>
      <c r="C453">
        <v>5697</v>
      </c>
      <c r="D453" t="s">
        <v>2201</v>
      </c>
      <c r="E453" t="s">
        <v>2359</v>
      </c>
      <c r="F453">
        <v>202107</v>
      </c>
      <c r="G453" t="s">
        <v>182</v>
      </c>
      <c r="H453">
        <v>805330</v>
      </c>
    </row>
    <row r="454" spans="1:8">
      <c r="A454">
        <v>6897</v>
      </c>
      <c r="B454" t="s">
        <v>2364</v>
      </c>
      <c r="C454">
        <v>5697</v>
      </c>
      <c r="D454" t="s">
        <v>2201</v>
      </c>
      <c r="E454" t="s">
        <v>2359</v>
      </c>
      <c r="F454">
        <v>202107</v>
      </c>
      <c r="G454" t="s">
        <v>184</v>
      </c>
      <c r="H454">
        <v>108471</v>
      </c>
    </row>
    <row r="455" spans="1:8">
      <c r="A455">
        <v>6897</v>
      </c>
      <c r="B455" t="s">
        <v>2364</v>
      </c>
      <c r="C455">
        <v>5697</v>
      </c>
      <c r="D455" t="s">
        <v>2201</v>
      </c>
      <c r="E455" t="s">
        <v>2359</v>
      </c>
      <c r="F455">
        <v>202107</v>
      </c>
      <c r="G455" t="s">
        <v>192</v>
      </c>
      <c r="H455">
        <v>0</v>
      </c>
    </row>
    <row r="456" spans="1:8">
      <c r="A456">
        <v>6897</v>
      </c>
      <c r="B456" t="s">
        <v>2364</v>
      </c>
      <c r="C456">
        <v>5697</v>
      </c>
      <c r="D456" t="s">
        <v>2201</v>
      </c>
      <c r="E456" t="s">
        <v>2359</v>
      </c>
      <c r="F456">
        <v>202107</v>
      </c>
      <c r="G456" t="s">
        <v>2170</v>
      </c>
      <c r="H456">
        <v>8314.9699999999993</v>
      </c>
    </row>
    <row r="457" spans="1:8">
      <c r="A457">
        <v>6897</v>
      </c>
      <c r="B457" t="s">
        <v>2364</v>
      </c>
      <c r="C457">
        <v>5697</v>
      </c>
      <c r="D457" t="s">
        <v>2201</v>
      </c>
      <c r="E457" t="s">
        <v>2359</v>
      </c>
      <c r="F457">
        <v>202107</v>
      </c>
      <c r="G457" t="s">
        <v>2169</v>
      </c>
      <c r="H457">
        <v>119.33</v>
      </c>
    </row>
    <row r="458" spans="1:8">
      <c r="A458">
        <v>6897</v>
      </c>
      <c r="B458" t="s">
        <v>2364</v>
      </c>
      <c r="C458">
        <v>5697</v>
      </c>
      <c r="D458" t="s">
        <v>2201</v>
      </c>
      <c r="E458" t="s">
        <v>2359</v>
      </c>
      <c r="F458">
        <v>202107</v>
      </c>
      <c r="G458" t="s">
        <v>2166</v>
      </c>
      <c r="H458">
        <v>12.33</v>
      </c>
    </row>
    <row r="459" spans="1:8">
      <c r="A459">
        <v>6897</v>
      </c>
      <c r="B459" t="s">
        <v>2364</v>
      </c>
      <c r="C459">
        <v>5697</v>
      </c>
      <c r="D459" t="s">
        <v>2201</v>
      </c>
      <c r="E459" t="s">
        <v>2359</v>
      </c>
      <c r="F459">
        <v>202107</v>
      </c>
      <c r="G459" t="s">
        <v>2167</v>
      </c>
      <c r="H459">
        <v>23.94</v>
      </c>
    </row>
    <row r="460" spans="1:8">
      <c r="A460">
        <v>6897</v>
      </c>
      <c r="B460" t="s">
        <v>2364</v>
      </c>
      <c r="C460">
        <v>5697</v>
      </c>
      <c r="D460" t="s">
        <v>2201</v>
      </c>
      <c r="E460" t="s">
        <v>2359</v>
      </c>
      <c r="F460">
        <v>202107</v>
      </c>
      <c r="G460" t="s">
        <v>2168</v>
      </c>
      <c r="H460">
        <v>10.17</v>
      </c>
    </row>
    <row r="461" spans="1:8">
      <c r="A461">
        <v>6897</v>
      </c>
      <c r="B461" t="s">
        <v>2364</v>
      </c>
      <c r="C461">
        <v>5697</v>
      </c>
      <c r="D461" t="s">
        <v>2201</v>
      </c>
      <c r="E461" t="s">
        <v>2359</v>
      </c>
      <c r="F461">
        <v>202107</v>
      </c>
      <c r="G461" t="s">
        <v>2171</v>
      </c>
      <c r="H461">
        <v>255845.9</v>
      </c>
    </row>
    <row r="462" spans="1:8">
      <c r="A462">
        <v>6897</v>
      </c>
      <c r="B462" t="s">
        <v>2364</v>
      </c>
      <c r="C462">
        <v>5697</v>
      </c>
      <c r="D462" t="s">
        <v>2201</v>
      </c>
      <c r="E462" t="s">
        <v>2359</v>
      </c>
      <c r="F462">
        <v>202107</v>
      </c>
      <c r="G462" t="s">
        <v>190</v>
      </c>
      <c r="H462">
        <v>6460445</v>
      </c>
    </row>
    <row r="463" spans="1:8">
      <c r="A463">
        <v>6897</v>
      </c>
      <c r="B463" t="s">
        <v>2364</v>
      </c>
      <c r="C463">
        <v>5697</v>
      </c>
      <c r="D463" t="s">
        <v>2201</v>
      </c>
      <c r="E463" t="s">
        <v>2359</v>
      </c>
      <c r="F463">
        <v>202107</v>
      </c>
      <c r="G463" t="s">
        <v>191</v>
      </c>
      <c r="H463">
        <v>629388</v>
      </c>
    </row>
    <row r="464" spans="1:8">
      <c r="A464">
        <v>6897</v>
      </c>
      <c r="B464" t="s">
        <v>2364</v>
      </c>
      <c r="C464">
        <v>5697</v>
      </c>
      <c r="D464" t="s">
        <v>2201</v>
      </c>
      <c r="E464" t="s">
        <v>2359</v>
      </c>
      <c r="F464">
        <v>202107</v>
      </c>
      <c r="G464" t="s">
        <v>176</v>
      </c>
      <c r="H464">
        <v>0</v>
      </c>
    </row>
    <row r="465" spans="1:8">
      <c r="A465">
        <v>6897</v>
      </c>
      <c r="B465" t="s">
        <v>2364</v>
      </c>
      <c r="C465">
        <v>5697</v>
      </c>
      <c r="D465" t="s">
        <v>2201</v>
      </c>
      <c r="E465" t="s">
        <v>2359</v>
      </c>
      <c r="F465">
        <v>202107</v>
      </c>
      <c r="G465" t="s">
        <v>178</v>
      </c>
      <c r="H465">
        <v>17133</v>
      </c>
    </row>
    <row r="466" spans="1:8">
      <c r="A466">
        <v>6897</v>
      </c>
      <c r="B466" t="s">
        <v>2364</v>
      </c>
      <c r="C466">
        <v>5697</v>
      </c>
      <c r="D466" t="s">
        <v>2201</v>
      </c>
      <c r="E466" t="s">
        <v>2359</v>
      </c>
      <c r="F466">
        <v>202107</v>
      </c>
      <c r="G466" t="s">
        <v>180</v>
      </c>
      <c r="H466">
        <v>14610</v>
      </c>
    </row>
    <row r="467" spans="1:8">
      <c r="A467">
        <v>6897</v>
      </c>
      <c r="B467" t="s">
        <v>2364</v>
      </c>
      <c r="C467">
        <v>5697</v>
      </c>
      <c r="D467" t="s">
        <v>2201</v>
      </c>
      <c r="E467" t="s">
        <v>2359</v>
      </c>
      <c r="F467">
        <v>202107</v>
      </c>
      <c r="G467" t="s">
        <v>182</v>
      </c>
      <c r="H467">
        <v>6483647</v>
      </c>
    </row>
    <row r="468" spans="1:8">
      <c r="A468">
        <v>6897</v>
      </c>
      <c r="B468" t="s">
        <v>2364</v>
      </c>
      <c r="C468">
        <v>5697</v>
      </c>
      <c r="D468" t="s">
        <v>2201</v>
      </c>
      <c r="E468" t="s">
        <v>2359</v>
      </c>
      <c r="F468">
        <v>202107</v>
      </c>
      <c r="G468" t="s">
        <v>184</v>
      </c>
      <c r="H468">
        <v>642859</v>
      </c>
    </row>
    <row r="469" spans="1:8">
      <c r="A469">
        <v>6897</v>
      </c>
      <c r="B469" t="s">
        <v>2364</v>
      </c>
      <c r="C469">
        <v>5697</v>
      </c>
      <c r="D469" t="s">
        <v>2201</v>
      </c>
      <c r="E469" t="s">
        <v>2359</v>
      </c>
      <c r="F469">
        <v>202107</v>
      </c>
      <c r="G469" t="s">
        <v>192</v>
      </c>
      <c r="H469">
        <v>0</v>
      </c>
    </row>
    <row r="470" spans="1:8">
      <c r="A470">
        <v>6897</v>
      </c>
      <c r="B470" t="s">
        <v>2364</v>
      </c>
      <c r="C470">
        <v>5697</v>
      </c>
      <c r="D470" t="s">
        <v>2201</v>
      </c>
      <c r="E470" t="s">
        <v>2359</v>
      </c>
      <c r="F470">
        <v>202107</v>
      </c>
      <c r="G470" t="s">
        <v>2170</v>
      </c>
      <c r="H470">
        <v>55275.11</v>
      </c>
    </row>
    <row r="471" spans="1:8">
      <c r="A471">
        <v>6897</v>
      </c>
      <c r="B471" t="s">
        <v>2364</v>
      </c>
      <c r="C471">
        <v>5697</v>
      </c>
      <c r="D471" t="s">
        <v>2201</v>
      </c>
      <c r="E471" t="s">
        <v>2359</v>
      </c>
      <c r="F471">
        <v>202107</v>
      </c>
      <c r="G471" t="s">
        <v>186</v>
      </c>
      <c r="H471">
        <v>149333</v>
      </c>
    </row>
    <row r="472" spans="1:8">
      <c r="A472">
        <v>6897</v>
      </c>
      <c r="B472" t="s">
        <v>2364</v>
      </c>
      <c r="C472">
        <v>5697</v>
      </c>
      <c r="D472" t="s">
        <v>2201</v>
      </c>
      <c r="E472" t="s">
        <v>2359</v>
      </c>
      <c r="F472">
        <v>202107</v>
      </c>
      <c r="G472" t="s">
        <v>2169</v>
      </c>
      <c r="H472">
        <v>119.33</v>
      </c>
    </row>
    <row r="473" spans="1:8">
      <c r="A473">
        <v>6897</v>
      </c>
      <c r="B473" t="s">
        <v>2364</v>
      </c>
      <c r="C473">
        <v>5697</v>
      </c>
      <c r="D473" t="s">
        <v>2201</v>
      </c>
      <c r="E473" t="s">
        <v>2359</v>
      </c>
      <c r="F473">
        <v>202107</v>
      </c>
      <c r="G473" t="s">
        <v>2166</v>
      </c>
      <c r="H473">
        <v>12.33</v>
      </c>
    </row>
    <row r="474" spans="1:8">
      <c r="A474">
        <v>6897</v>
      </c>
      <c r="B474" t="s">
        <v>2364</v>
      </c>
      <c r="C474">
        <v>5697</v>
      </c>
      <c r="D474" t="s">
        <v>2201</v>
      </c>
      <c r="E474" t="s">
        <v>2359</v>
      </c>
      <c r="F474">
        <v>202107</v>
      </c>
      <c r="G474" t="s">
        <v>2167</v>
      </c>
      <c r="H474">
        <v>23.94</v>
      </c>
    </row>
    <row r="475" spans="1:8">
      <c r="A475">
        <v>6897</v>
      </c>
      <c r="B475" t="s">
        <v>2364</v>
      </c>
      <c r="C475">
        <v>5697</v>
      </c>
      <c r="D475" t="s">
        <v>2201</v>
      </c>
      <c r="E475" t="s">
        <v>2359</v>
      </c>
      <c r="F475">
        <v>202107</v>
      </c>
      <c r="G475" t="s">
        <v>2168</v>
      </c>
      <c r="H475">
        <v>10.17</v>
      </c>
    </row>
    <row r="476" spans="1:8">
      <c r="A476">
        <v>6897</v>
      </c>
      <c r="B476" t="s">
        <v>2364</v>
      </c>
      <c r="C476">
        <v>5697</v>
      </c>
      <c r="D476" t="s">
        <v>2201</v>
      </c>
      <c r="E476" t="s">
        <v>2359</v>
      </c>
      <c r="F476">
        <v>202107</v>
      </c>
      <c r="G476" t="s">
        <v>2171</v>
      </c>
      <c r="H476">
        <v>1700772.95</v>
      </c>
    </row>
    <row r="477" spans="1:8">
      <c r="A477">
        <v>6897</v>
      </c>
      <c r="B477" t="s">
        <v>2364</v>
      </c>
      <c r="C477">
        <v>5697</v>
      </c>
      <c r="D477" t="s">
        <v>2201</v>
      </c>
      <c r="E477" t="s">
        <v>2359</v>
      </c>
      <c r="F477">
        <v>202108</v>
      </c>
      <c r="G477" t="s">
        <v>190</v>
      </c>
      <c r="H477">
        <v>754467</v>
      </c>
    </row>
    <row r="478" spans="1:8">
      <c r="A478">
        <v>6897</v>
      </c>
      <c r="B478" t="s">
        <v>2364</v>
      </c>
      <c r="C478">
        <v>5697</v>
      </c>
      <c r="D478" t="s">
        <v>2201</v>
      </c>
      <c r="E478" t="s">
        <v>2359</v>
      </c>
      <c r="F478">
        <v>202108</v>
      </c>
      <c r="G478" t="s">
        <v>190</v>
      </c>
      <c r="H478">
        <v>754467</v>
      </c>
    </row>
    <row r="479" spans="1:8">
      <c r="A479">
        <v>6897</v>
      </c>
      <c r="B479" t="s">
        <v>2364</v>
      </c>
      <c r="C479">
        <v>5697</v>
      </c>
      <c r="D479" t="s">
        <v>2201</v>
      </c>
      <c r="E479" t="s">
        <v>2359</v>
      </c>
      <c r="F479">
        <v>202108</v>
      </c>
      <c r="G479" t="s">
        <v>191</v>
      </c>
      <c r="H479">
        <v>116642</v>
      </c>
    </row>
    <row r="480" spans="1:8">
      <c r="A480">
        <v>6897</v>
      </c>
      <c r="B480" t="s">
        <v>2364</v>
      </c>
      <c r="C480">
        <v>5697</v>
      </c>
      <c r="D480" t="s">
        <v>2201</v>
      </c>
      <c r="E480" t="s">
        <v>2359</v>
      </c>
      <c r="F480">
        <v>202108</v>
      </c>
      <c r="G480" t="s">
        <v>191</v>
      </c>
      <c r="H480">
        <v>116642</v>
      </c>
    </row>
    <row r="481" spans="1:8">
      <c r="A481">
        <v>6897</v>
      </c>
      <c r="B481" t="s">
        <v>2364</v>
      </c>
      <c r="C481">
        <v>5697</v>
      </c>
      <c r="D481" t="s">
        <v>2201</v>
      </c>
      <c r="E481" t="s">
        <v>2359</v>
      </c>
      <c r="F481">
        <v>202108</v>
      </c>
      <c r="G481" t="s">
        <v>176</v>
      </c>
      <c r="H481">
        <v>0</v>
      </c>
    </row>
    <row r="482" spans="1:8">
      <c r="A482">
        <v>6897</v>
      </c>
      <c r="B482" t="s">
        <v>2364</v>
      </c>
      <c r="C482">
        <v>5697</v>
      </c>
      <c r="D482" t="s">
        <v>2201</v>
      </c>
      <c r="E482" t="s">
        <v>2359</v>
      </c>
      <c r="F482">
        <v>202108</v>
      </c>
      <c r="G482" t="s">
        <v>178</v>
      </c>
      <c r="H482">
        <v>2696</v>
      </c>
    </row>
    <row r="483" spans="1:8">
      <c r="A483">
        <v>6897</v>
      </c>
      <c r="B483" t="s">
        <v>2364</v>
      </c>
      <c r="C483">
        <v>5697</v>
      </c>
      <c r="D483" t="s">
        <v>2201</v>
      </c>
      <c r="E483" t="s">
        <v>2359</v>
      </c>
      <c r="F483">
        <v>202108</v>
      </c>
      <c r="G483" t="s">
        <v>178</v>
      </c>
      <c r="H483">
        <v>2696</v>
      </c>
    </row>
    <row r="484" spans="1:8">
      <c r="A484">
        <v>6897</v>
      </c>
      <c r="B484" t="s">
        <v>2364</v>
      </c>
      <c r="C484">
        <v>5697</v>
      </c>
      <c r="D484" t="s">
        <v>2201</v>
      </c>
      <c r="E484" t="s">
        <v>2359</v>
      </c>
      <c r="F484">
        <v>202108</v>
      </c>
      <c r="G484" t="s">
        <v>180</v>
      </c>
      <c r="H484">
        <v>2748</v>
      </c>
    </row>
    <row r="485" spans="1:8">
      <c r="A485">
        <v>6897</v>
      </c>
      <c r="B485" t="s">
        <v>2364</v>
      </c>
      <c r="C485">
        <v>5697</v>
      </c>
      <c r="D485" t="s">
        <v>2201</v>
      </c>
      <c r="E485" t="s">
        <v>2359</v>
      </c>
      <c r="F485">
        <v>202108</v>
      </c>
      <c r="G485" t="s">
        <v>180</v>
      </c>
      <c r="H485">
        <v>2748</v>
      </c>
    </row>
    <row r="486" spans="1:8">
      <c r="A486">
        <v>6897</v>
      </c>
      <c r="B486" t="s">
        <v>2364</v>
      </c>
      <c r="C486">
        <v>5697</v>
      </c>
      <c r="D486" t="s">
        <v>2201</v>
      </c>
      <c r="E486" t="s">
        <v>2359</v>
      </c>
      <c r="F486">
        <v>202108</v>
      </c>
      <c r="G486" t="s">
        <v>182</v>
      </c>
      <c r="H486">
        <v>754467</v>
      </c>
    </row>
    <row r="487" spans="1:8">
      <c r="A487">
        <v>6897</v>
      </c>
      <c r="B487" t="s">
        <v>2364</v>
      </c>
      <c r="C487">
        <v>5697</v>
      </c>
      <c r="D487" t="s">
        <v>2201</v>
      </c>
      <c r="E487" t="s">
        <v>2359</v>
      </c>
      <c r="F487">
        <v>202108</v>
      </c>
      <c r="G487" t="s">
        <v>182</v>
      </c>
      <c r="H487">
        <v>754467</v>
      </c>
    </row>
    <row r="488" spans="1:8">
      <c r="A488">
        <v>6897</v>
      </c>
      <c r="B488" t="s">
        <v>2364</v>
      </c>
      <c r="C488">
        <v>5697</v>
      </c>
      <c r="D488" t="s">
        <v>2201</v>
      </c>
      <c r="E488" t="s">
        <v>2359</v>
      </c>
      <c r="F488">
        <v>202108</v>
      </c>
      <c r="G488" t="s">
        <v>184</v>
      </c>
      <c r="H488">
        <v>116642</v>
      </c>
    </row>
    <row r="489" spans="1:8">
      <c r="A489">
        <v>6897</v>
      </c>
      <c r="B489" t="s">
        <v>2364</v>
      </c>
      <c r="C489">
        <v>5697</v>
      </c>
      <c r="D489" t="s">
        <v>2201</v>
      </c>
      <c r="E489" t="s">
        <v>2359</v>
      </c>
      <c r="F489">
        <v>202108</v>
      </c>
      <c r="G489" t="s">
        <v>184</v>
      </c>
      <c r="H489">
        <v>116642</v>
      </c>
    </row>
    <row r="490" spans="1:8">
      <c r="A490">
        <v>6897</v>
      </c>
      <c r="B490" t="s">
        <v>2364</v>
      </c>
      <c r="C490">
        <v>5697</v>
      </c>
      <c r="D490" t="s">
        <v>2201</v>
      </c>
      <c r="E490" t="s">
        <v>2359</v>
      </c>
      <c r="F490">
        <v>202108</v>
      </c>
      <c r="G490" t="s">
        <v>192</v>
      </c>
      <c r="H490">
        <v>0</v>
      </c>
    </row>
    <row r="491" spans="1:8">
      <c r="A491">
        <v>6897</v>
      </c>
      <c r="B491" t="s">
        <v>2364</v>
      </c>
      <c r="C491">
        <v>5697</v>
      </c>
      <c r="D491" t="s">
        <v>2201</v>
      </c>
      <c r="E491" t="s">
        <v>2359</v>
      </c>
      <c r="F491">
        <v>202108</v>
      </c>
      <c r="G491" t="s">
        <v>2170</v>
      </c>
      <c r="H491">
        <v>446.84</v>
      </c>
    </row>
    <row r="492" spans="1:8">
      <c r="A492">
        <v>6897</v>
      </c>
      <c r="B492" t="s">
        <v>2364</v>
      </c>
      <c r="C492">
        <v>5697</v>
      </c>
      <c r="D492" t="s">
        <v>2201</v>
      </c>
      <c r="E492" t="s">
        <v>2359</v>
      </c>
      <c r="F492">
        <v>202108</v>
      </c>
      <c r="G492" t="s">
        <v>2169</v>
      </c>
      <c r="H492">
        <v>119.33</v>
      </c>
    </row>
    <row r="493" spans="1:8">
      <c r="A493">
        <v>6897</v>
      </c>
      <c r="B493" t="s">
        <v>2364</v>
      </c>
      <c r="C493">
        <v>5697</v>
      </c>
      <c r="D493" t="s">
        <v>2201</v>
      </c>
      <c r="E493" t="s">
        <v>2359</v>
      </c>
      <c r="F493">
        <v>202108</v>
      </c>
      <c r="G493" t="s">
        <v>2169</v>
      </c>
      <c r="H493">
        <v>119.33</v>
      </c>
    </row>
    <row r="494" spans="1:8">
      <c r="A494">
        <v>6897</v>
      </c>
      <c r="B494" t="s">
        <v>2364</v>
      </c>
      <c r="C494">
        <v>5697</v>
      </c>
      <c r="D494" t="s">
        <v>2201</v>
      </c>
      <c r="E494" t="s">
        <v>2359</v>
      </c>
      <c r="F494">
        <v>202108</v>
      </c>
      <c r="G494" t="s">
        <v>2166</v>
      </c>
      <c r="H494">
        <v>12.33</v>
      </c>
    </row>
    <row r="495" spans="1:8">
      <c r="A495">
        <v>6897</v>
      </c>
      <c r="B495" t="s">
        <v>2364</v>
      </c>
      <c r="C495">
        <v>5697</v>
      </c>
      <c r="D495" t="s">
        <v>2201</v>
      </c>
      <c r="E495" t="s">
        <v>2359</v>
      </c>
      <c r="F495">
        <v>202108</v>
      </c>
      <c r="G495" t="s">
        <v>2166</v>
      </c>
      <c r="H495">
        <v>12.33</v>
      </c>
    </row>
    <row r="496" spans="1:8">
      <c r="A496">
        <v>6897</v>
      </c>
      <c r="B496" t="s">
        <v>2364</v>
      </c>
      <c r="C496">
        <v>5697</v>
      </c>
      <c r="D496" t="s">
        <v>2201</v>
      </c>
      <c r="E496" t="s">
        <v>2359</v>
      </c>
      <c r="F496">
        <v>202108</v>
      </c>
      <c r="G496" t="s">
        <v>2167</v>
      </c>
      <c r="H496">
        <v>23.94</v>
      </c>
    </row>
    <row r="497" spans="1:8">
      <c r="A497">
        <v>6897</v>
      </c>
      <c r="B497" t="s">
        <v>2364</v>
      </c>
      <c r="C497">
        <v>5697</v>
      </c>
      <c r="D497" t="s">
        <v>2201</v>
      </c>
      <c r="E497" t="s">
        <v>2359</v>
      </c>
      <c r="F497">
        <v>202108</v>
      </c>
      <c r="G497" t="s">
        <v>2167</v>
      </c>
      <c r="H497">
        <v>23.94</v>
      </c>
    </row>
    <row r="498" spans="1:8">
      <c r="A498">
        <v>6897</v>
      </c>
      <c r="B498" t="s">
        <v>2364</v>
      </c>
      <c r="C498">
        <v>5697</v>
      </c>
      <c r="D498" t="s">
        <v>2201</v>
      </c>
      <c r="E498" t="s">
        <v>2359</v>
      </c>
      <c r="F498">
        <v>202108</v>
      </c>
      <c r="G498" t="s">
        <v>2168</v>
      </c>
      <c r="H498">
        <v>10.17</v>
      </c>
    </row>
    <row r="499" spans="1:8">
      <c r="A499">
        <v>6897</v>
      </c>
      <c r="B499" t="s">
        <v>2364</v>
      </c>
      <c r="C499">
        <v>5697</v>
      </c>
      <c r="D499" t="s">
        <v>2201</v>
      </c>
      <c r="E499" t="s">
        <v>2359</v>
      </c>
      <c r="F499">
        <v>202108</v>
      </c>
      <c r="G499" t="s">
        <v>2168</v>
      </c>
      <c r="H499">
        <v>10.17</v>
      </c>
    </row>
    <row r="500" spans="1:8">
      <c r="A500">
        <v>6897</v>
      </c>
      <c r="B500" t="s">
        <v>2364</v>
      </c>
      <c r="C500">
        <v>5697</v>
      </c>
      <c r="D500" t="s">
        <v>2201</v>
      </c>
      <c r="E500" t="s">
        <v>2359</v>
      </c>
      <c r="F500">
        <v>202108</v>
      </c>
      <c r="G500" t="s">
        <v>2171</v>
      </c>
      <c r="H500">
        <v>248241.48</v>
      </c>
    </row>
    <row r="501" spans="1:8">
      <c r="A501">
        <v>6897</v>
      </c>
      <c r="B501" t="s">
        <v>2364</v>
      </c>
      <c r="C501">
        <v>5697</v>
      </c>
      <c r="D501" t="s">
        <v>2201</v>
      </c>
      <c r="E501" t="s">
        <v>2359</v>
      </c>
      <c r="F501">
        <v>202108</v>
      </c>
      <c r="G501" t="s">
        <v>190</v>
      </c>
      <c r="H501">
        <v>6528356</v>
      </c>
    </row>
    <row r="502" spans="1:8">
      <c r="A502">
        <v>6897</v>
      </c>
      <c r="B502" t="s">
        <v>2364</v>
      </c>
      <c r="C502">
        <v>5697</v>
      </c>
      <c r="D502" t="s">
        <v>2201</v>
      </c>
      <c r="E502" t="s">
        <v>2359</v>
      </c>
      <c r="F502">
        <v>202108</v>
      </c>
      <c r="G502" t="s">
        <v>191</v>
      </c>
      <c r="H502">
        <v>684119</v>
      </c>
    </row>
    <row r="503" spans="1:8">
      <c r="A503">
        <v>6897</v>
      </c>
      <c r="B503" t="s">
        <v>2364</v>
      </c>
      <c r="C503">
        <v>5697</v>
      </c>
      <c r="D503" t="s">
        <v>2201</v>
      </c>
      <c r="E503" t="s">
        <v>2359</v>
      </c>
      <c r="F503">
        <v>202108</v>
      </c>
      <c r="G503" t="s">
        <v>176</v>
      </c>
      <c r="H503">
        <v>0</v>
      </c>
    </row>
    <row r="504" spans="1:8">
      <c r="A504">
        <v>6897</v>
      </c>
      <c r="B504" t="s">
        <v>2364</v>
      </c>
      <c r="C504">
        <v>5697</v>
      </c>
      <c r="D504" t="s">
        <v>2201</v>
      </c>
      <c r="E504" t="s">
        <v>2359</v>
      </c>
      <c r="F504">
        <v>202108</v>
      </c>
      <c r="G504" t="s">
        <v>178</v>
      </c>
      <c r="H504">
        <v>18122</v>
      </c>
    </row>
    <row r="505" spans="1:8">
      <c r="A505">
        <v>6897</v>
      </c>
      <c r="B505" t="s">
        <v>2364</v>
      </c>
      <c r="C505">
        <v>5697</v>
      </c>
      <c r="D505" t="s">
        <v>2201</v>
      </c>
      <c r="E505" t="s">
        <v>2359</v>
      </c>
      <c r="F505">
        <v>202108</v>
      </c>
      <c r="G505" t="s">
        <v>180</v>
      </c>
      <c r="H505">
        <v>15280</v>
      </c>
    </row>
    <row r="506" spans="1:8">
      <c r="A506">
        <v>6897</v>
      </c>
      <c r="B506" t="s">
        <v>2364</v>
      </c>
      <c r="C506">
        <v>5697</v>
      </c>
      <c r="D506" t="s">
        <v>2201</v>
      </c>
      <c r="E506" t="s">
        <v>2359</v>
      </c>
      <c r="F506">
        <v>202108</v>
      </c>
      <c r="G506" t="s">
        <v>182</v>
      </c>
      <c r="H506">
        <v>6608005</v>
      </c>
    </row>
    <row r="507" spans="1:8">
      <c r="A507">
        <v>6897</v>
      </c>
      <c r="B507" t="s">
        <v>2364</v>
      </c>
      <c r="C507">
        <v>5697</v>
      </c>
      <c r="D507" t="s">
        <v>2201</v>
      </c>
      <c r="E507" t="s">
        <v>2359</v>
      </c>
      <c r="F507">
        <v>202108</v>
      </c>
      <c r="G507" t="s">
        <v>184</v>
      </c>
      <c r="H507">
        <v>698803</v>
      </c>
    </row>
    <row r="508" spans="1:8">
      <c r="A508">
        <v>6897</v>
      </c>
      <c r="B508" t="s">
        <v>2364</v>
      </c>
      <c r="C508">
        <v>5697</v>
      </c>
      <c r="D508" t="s">
        <v>2201</v>
      </c>
      <c r="E508" t="s">
        <v>2359</v>
      </c>
      <c r="F508">
        <v>202108</v>
      </c>
      <c r="G508" t="s">
        <v>192</v>
      </c>
      <c r="H508">
        <v>0</v>
      </c>
    </row>
    <row r="509" spans="1:8">
      <c r="A509">
        <v>6897</v>
      </c>
      <c r="B509" t="s">
        <v>2364</v>
      </c>
      <c r="C509">
        <v>5697</v>
      </c>
      <c r="D509" t="s">
        <v>2201</v>
      </c>
      <c r="E509" t="s">
        <v>2359</v>
      </c>
      <c r="F509">
        <v>202108</v>
      </c>
      <c r="G509" t="s">
        <v>2170</v>
      </c>
      <c r="H509">
        <v>3149.64</v>
      </c>
    </row>
    <row r="510" spans="1:8">
      <c r="A510">
        <v>6897</v>
      </c>
      <c r="B510" t="s">
        <v>2364</v>
      </c>
      <c r="C510">
        <v>5697</v>
      </c>
      <c r="D510" t="s">
        <v>2201</v>
      </c>
      <c r="E510" t="s">
        <v>2359</v>
      </c>
      <c r="F510">
        <v>202108</v>
      </c>
      <c r="G510" t="s">
        <v>186</v>
      </c>
      <c r="H510">
        <v>153539</v>
      </c>
    </row>
    <row r="511" spans="1:8">
      <c r="A511">
        <v>6897</v>
      </c>
      <c r="B511" t="s">
        <v>2364</v>
      </c>
      <c r="C511">
        <v>5697</v>
      </c>
      <c r="D511" t="s">
        <v>2201</v>
      </c>
      <c r="E511" t="s">
        <v>2359</v>
      </c>
      <c r="F511">
        <v>202108</v>
      </c>
      <c r="G511" t="s">
        <v>2169</v>
      </c>
      <c r="H511">
        <v>119.33</v>
      </c>
    </row>
    <row r="512" spans="1:8">
      <c r="A512">
        <v>6897</v>
      </c>
      <c r="B512" t="s">
        <v>2364</v>
      </c>
      <c r="C512">
        <v>5697</v>
      </c>
      <c r="D512" t="s">
        <v>2201</v>
      </c>
      <c r="E512" t="s">
        <v>2359</v>
      </c>
      <c r="F512">
        <v>202108</v>
      </c>
      <c r="G512" t="s">
        <v>2166</v>
      </c>
      <c r="H512">
        <v>12.33</v>
      </c>
    </row>
    <row r="513" spans="1:8">
      <c r="A513">
        <v>6897</v>
      </c>
      <c r="B513" t="s">
        <v>2364</v>
      </c>
      <c r="C513">
        <v>5697</v>
      </c>
      <c r="D513" t="s">
        <v>2201</v>
      </c>
      <c r="E513" t="s">
        <v>2359</v>
      </c>
      <c r="F513">
        <v>202108</v>
      </c>
      <c r="G513" t="s">
        <v>2167</v>
      </c>
      <c r="H513">
        <v>23.94</v>
      </c>
    </row>
    <row r="514" spans="1:8">
      <c r="A514">
        <v>6897</v>
      </c>
      <c r="B514" t="s">
        <v>2364</v>
      </c>
      <c r="C514">
        <v>5697</v>
      </c>
      <c r="D514" t="s">
        <v>2201</v>
      </c>
      <c r="E514" t="s">
        <v>2359</v>
      </c>
      <c r="F514">
        <v>202108</v>
      </c>
      <c r="G514" t="s">
        <v>2168</v>
      </c>
      <c r="H514">
        <v>10.17</v>
      </c>
    </row>
    <row r="515" spans="1:8">
      <c r="A515">
        <v>6897</v>
      </c>
      <c r="B515" t="s">
        <v>2364</v>
      </c>
      <c r="C515">
        <v>5697</v>
      </c>
      <c r="D515" t="s">
        <v>2201</v>
      </c>
      <c r="E515" t="s">
        <v>2359</v>
      </c>
      <c r="F515">
        <v>202108</v>
      </c>
      <c r="G515" t="s">
        <v>2171</v>
      </c>
      <c r="H515">
        <v>1749800.18</v>
      </c>
    </row>
    <row r="516" spans="1:8">
      <c r="A516">
        <v>6897</v>
      </c>
      <c r="B516" t="s">
        <v>2364</v>
      </c>
      <c r="C516">
        <v>5697</v>
      </c>
      <c r="D516" t="s">
        <v>2201</v>
      </c>
      <c r="E516" t="s">
        <v>2359</v>
      </c>
      <c r="F516">
        <v>202109</v>
      </c>
      <c r="G516" t="s">
        <v>190</v>
      </c>
      <c r="H516">
        <v>755630</v>
      </c>
    </row>
    <row r="517" spans="1:8">
      <c r="A517">
        <v>6897</v>
      </c>
      <c r="B517" t="s">
        <v>2364</v>
      </c>
      <c r="C517">
        <v>5697</v>
      </c>
      <c r="D517" t="s">
        <v>2201</v>
      </c>
      <c r="E517" t="s">
        <v>2359</v>
      </c>
      <c r="F517">
        <v>202109</v>
      </c>
      <c r="G517" t="s">
        <v>191</v>
      </c>
      <c r="H517">
        <v>119695</v>
      </c>
    </row>
    <row r="518" spans="1:8">
      <c r="A518">
        <v>6897</v>
      </c>
      <c r="B518" t="s">
        <v>2364</v>
      </c>
      <c r="C518">
        <v>5697</v>
      </c>
      <c r="D518" t="s">
        <v>2201</v>
      </c>
      <c r="E518" t="s">
        <v>2359</v>
      </c>
      <c r="F518">
        <v>202109</v>
      </c>
      <c r="G518" t="s">
        <v>176</v>
      </c>
      <c r="H518">
        <v>0</v>
      </c>
    </row>
    <row r="519" spans="1:8">
      <c r="A519">
        <v>6897</v>
      </c>
      <c r="B519" t="s">
        <v>2364</v>
      </c>
      <c r="C519">
        <v>5697</v>
      </c>
      <c r="D519" t="s">
        <v>2201</v>
      </c>
      <c r="E519" t="s">
        <v>2359</v>
      </c>
      <c r="F519">
        <v>202109</v>
      </c>
      <c r="G519" t="s">
        <v>178</v>
      </c>
      <c r="H519">
        <v>2644</v>
      </c>
    </row>
    <row r="520" spans="1:8">
      <c r="A520">
        <v>6897</v>
      </c>
      <c r="B520" t="s">
        <v>2364</v>
      </c>
      <c r="C520">
        <v>5697</v>
      </c>
      <c r="D520" t="s">
        <v>2201</v>
      </c>
      <c r="E520" t="s">
        <v>2359</v>
      </c>
      <c r="F520">
        <v>202109</v>
      </c>
      <c r="G520" t="s">
        <v>180</v>
      </c>
      <c r="H520">
        <v>2805</v>
      </c>
    </row>
    <row r="521" spans="1:8">
      <c r="A521">
        <v>6897</v>
      </c>
      <c r="B521" t="s">
        <v>2364</v>
      </c>
      <c r="C521">
        <v>5697</v>
      </c>
      <c r="D521" t="s">
        <v>2201</v>
      </c>
      <c r="E521" t="s">
        <v>2359</v>
      </c>
      <c r="F521">
        <v>202109</v>
      </c>
      <c r="G521" t="s">
        <v>182</v>
      </c>
      <c r="H521">
        <v>755630</v>
      </c>
    </row>
    <row r="522" spans="1:8">
      <c r="A522">
        <v>6897</v>
      </c>
      <c r="B522" t="s">
        <v>2364</v>
      </c>
      <c r="C522">
        <v>5697</v>
      </c>
      <c r="D522" t="s">
        <v>2201</v>
      </c>
      <c r="E522" t="s">
        <v>2359</v>
      </c>
      <c r="F522">
        <v>202109</v>
      </c>
      <c r="G522" t="s">
        <v>184</v>
      </c>
      <c r="H522">
        <v>119695</v>
      </c>
    </row>
    <row r="523" spans="1:8">
      <c r="A523">
        <v>6897</v>
      </c>
      <c r="B523" t="s">
        <v>2364</v>
      </c>
      <c r="C523">
        <v>5697</v>
      </c>
      <c r="D523" t="s">
        <v>2201</v>
      </c>
      <c r="E523" t="s">
        <v>2359</v>
      </c>
      <c r="F523">
        <v>202109</v>
      </c>
      <c r="G523" t="s">
        <v>192</v>
      </c>
      <c r="H523">
        <v>0</v>
      </c>
    </row>
    <row r="524" spans="1:8">
      <c r="A524">
        <v>6897</v>
      </c>
      <c r="B524" t="s">
        <v>2364</v>
      </c>
      <c r="C524">
        <v>5697</v>
      </c>
      <c r="D524" t="s">
        <v>2201</v>
      </c>
      <c r="E524" t="s">
        <v>2359</v>
      </c>
      <c r="F524">
        <v>202109</v>
      </c>
      <c r="G524" t="s">
        <v>2170</v>
      </c>
      <c r="H524">
        <v>1006.26</v>
      </c>
    </row>
    <row r="525" spans="1:8">
      <c r="A525">
        <v>6897</v>
      </c>
      <c r="B525" t="s">
        <v>2364</v>
      </c>
      <c r="C525">
        <v>5697</v>
      </c>
      <c r="D525" t="s">
        <v>2201</v>
      </c>
      <c r="E525" t="s">
        <v>2359</v>
      </c>
      <c r="F525">
        <v>202109</v>
      </c>
      <c r="G525" t="s">
        <v>2169</v>
      </c>
      <c r="H525">
        <v>119.33</v>
      </c>
    </row>
    <row r="526" spans="1:8">
      <c r="A526">
        <v>6897</v>
      </c>
      <c r="B526" t="s">
        <v>2364</v>
      </c>
      <c r="C526">
        <v>5697</v>
      </c>
      <c r="D526" t="s">
        <v>2201</v>
      </c>
      <c r="E526" t="s">
        <v>2359</v>
      </c>
      <c r="F526">
        <v>202109</v>
      </c>
      <c r="G526" t="s">
        <v>2166</v>
      </c>
      <c r="H526">
        <v>12.33</v>
      </c>
    </row>
    <row r="527" spans="1:8">
      <c r="A527">
        <v>6897</v>
      </c>
      <c r="B527" t="s">
        <v>2364</v>
      </c>
      <c r="C527">
        <v>5697</v>
      </c>
      <c r="D527" t="s">
        <v>2201</v>
      </c>
      <c r="E527" t="s">
        <v>2359</v>
      </c>
      <c r="F527">
        <v>202109</v>
      </c>
      <c r="G527" t="s">
        <v>2167</v>
      </c>
      <c r="H527">
        <v>23.94</v>
      </c>
    </row>
    <row r="528" spans="1:8">
      <c r="A528">
        <v>6897</v>
      </c>
      <c r="B528" t="s">
        <v>2364</v>
      </c>
      <c r="C528">
        <v>5697</v>
      </c>
      <c r="D528" t="s">
        <v>2201</v>
      </c>
      <c r="E528" t="s">
        <v>2359</v>
      </c>
      <c r="F528">
        <v>202109</v>
      </c>
      <c r="G528" t="s">
        <v>2168</v>
      </c>
      <c r="H528">
        <v>10.17</v>
      </c>
    </row>
    <row r="529" spans="1:8">
      <c r="A529">
        <v>6897</v>
      </c>
      <c r="B529" t="s">
        <v>2364</v>
      </c>
      <c r="C529">
        <v>5697</v>
      </c>
      <c r="D529" t="s">
        <v>2201</v>
      </c>
      <c r="E529" t="s">
        <v>2359</v>
      </c>
      <c r="F529">
        <v>202109</v>
      </c>
      <c r="G529" t="s">
        <v>2171</v>
      </c>
      <c r="H529">
        <v>251566.16</v>
      </c>
    </row>
    <row r="530" spans="1:8">
      <c r="A530">
        <v>6897</v>
      </c>
      <c r="B530" t="s">
        <v>2364</v>
      </c>
      <c r="C530">
        <v>5697</v>
      </c>
      <c r="D530" t="s">
        <v>2201</v>
      </c>
      <c r="E530" t="s">
        <v>2359</v>
      </c>
      <c r="F530">
        <v>202109</v>
      </c>
      <c r="G530" t="s">
        <v>190</v>
      </c>
      <c r="H530">
        <v>6830157</v>
      </c>
    </row>
    <row r="531" spans="1:8">
      <c r="A531">
        <v>6897</v>
      </c>
      <c r="B531" t="s">
        <v>2364</v>
      </c>
      <c r="C531">
        <v>5697</v>
      </c>
      <c r="D531" t="s">
        <v>2201</v>
      </c>
      <c r="E531" t="s">
        <v>2359</v>
      </c>
      <c r="F531">
        <v>202109</v>
      </c>
      <c r="G531" t="s">
        <v>191</v>
      </c>
      <c r="H531">
        <v>719858</v>
      </c>
    </row>
    <row r="532" spans="1:8">
      <c r="A532">
        <v>6897</v>
      </c>
      <c r="B532" t="s">
        <v>2364</v>
      </c>
      <c r="C532">
        <v>5697</v>
      </c>
      <c r="D532" t="s">
        <v>2201</v>
      </c>
      <c r="E532" t="s">
        <v>2359</v>
      </c>
      <c r="F532">
        <v>202109</v>
      </c>
      <c r="G532" t="s">
        <v>176</v>
      </c>
      <c r="H532">
        <v>0</v>
      </c>
    </row>
    <row r="533" spans="1:8">
      <c r="A533">
        <v>6897</v>
      </c>
      <c r="B533" t="s">
        <v>2364</v>
      </c>
      <c r="C533">
        <v>5697</v>
      </c>
      <c r="D533" t="s">
        <v>2201</v>
      </c>
      <c r="E533" t="s">
        <v>2359</v>
      </c>
      <c r="F533">
        <v>202109</v>
      </c>
      <c r="G533" t="s">
        <v>178</v>
      </c>
      <c r="H533">
        <v>18606</v>
      </c>
    </row>
    <row r="534" spans="1:8">
      <c r="A534">
        <v>6897</v>
      </c>
      <c r="B534" t="s">
        <v>2364</v>
      </c>
      <c r="C534">
        <v>5697</v>
      </c>
      <c r="D534" t="s">
        <v>2201</v>
      </c>
      <c r="E534" t="s">
        <v>2359</v>
      </c>
      <c r="F534">
        <v>202109</v>
      </c>
      <c r="G534" t="s">
        <v>180</v>
      </c>
      <c r="H534">
        <v>15790</v>
      </c>
    </row>
    <row r="535" spans="1:8">
      <c r="A535">
        <v>6897</v>
      </c>
      <c r="B535" t="s">
        <v>2364</v>
      </c>
      <c r="C535">
        <v>5697</v>
      </c>
      <c r="D535" t="s">
        <v>2201</v>
      </c>
      <c r="E535" t="s">
        <v>2359</v>
      </c>
      <c r="F535">
        <v>202109</v>
      </c>
      <c r="G535" t="s">
        <v>182</v>
      </c>
      <c r="H535">
        <v>6955077</v>
      </c>
    </row>
    <row r="536" spans="1:8">
      <c r="A536">
        <v>6897</v>
      </c>
      <c r="B536" t="s">
        <v>2364</v>
      </c>
      <c r="C536">
        <v>5697</v>
      </c>
      <c r="D536" t="s">
        <v>2201</v>
      </c>
      <c r="E536" t="s">
        <v>2359</v>
      </c>
      <c r="F536">
        <v>202109</v>
      </c>
      <c r="G536" t="s">
        <v>184</v>
      </c>
      <c r="H536">
        <v>735133</v>
      </c>
    </row>
    <row r="537" spans="1:8">
      <c r="A537">
        <v>6897</v>
      </c>
      <c r="B537" t="s">
        <v>2364</v>
      </c>
      <c r="C537">
        <v>5697</v>
      </c>
      <c r="D537" t="s">
        <v>2201</v>
      </c>
      <c r="E537" t="s">
        <v>2359</v>
      </c>
      <c r="F537">
        <v>202109</v>
      </c>
      <c r="G537" t="s">
        <v>192</v>
      </c>
      <c r="H537">
        <v>0</v>
      </c>
    </row>
    <row r="538" spans="1:8">
      <c r="A538">
        <v>6897</v>
      </c>
      <c r="B538" t="s">
        <v>2364</v>
      </c>
      <c r="C538">
        <v>5697</v>
      </c>
      <c r="D538" t="s">
        <v>2201</v>
      </c>
      <c r="E538" t="s">
        <v>2359</v>
      </c>
      <c r="F538">
        <v>202109</v>
      </c>
      <c r="G538" t="s">
        <v>2170</v>
      </c>
      <c r="H538">
        <v>7410.99</v>
      </c>
    </row>
    <row r="539" spans="1:8">
      <c r="A539">
        <v>6897</v>
      </c>
      <c r="B539" t="s">
        <v>2364</v>
      </c>
      <c r="C539">
        <v>5697</v>
      </c>
      <c r="D539" t="s">
        <v>2201</v>
      </c>
      <c r="E539" t="s">
        <v>2359</v>
      </c>
      <c r="F539">
        <v>202109</v>
      </c>
      <c r="G539" t="s">
        <v>186</v>
      </c>
      <c r="H539">
        <v>159793</v>
      </c>
    </row>
    <row r="540" spans="1:8">
      <c r="A540">
        <v>6897</v>
      </c>
      <c r="B540" t="s">
        <v>2364</v>
      </c>
      <c r="C540">
        <v>5697</v>
      </c>
      <c r="D540" t="s">
        <v>2201</v>
      </c>
      <c r="E540" t="s">
        <v>2359</v>
      </c>
      <c r="F540">
        <v>202109</v>
      </c>
      <c r="G540" t="s">
        <v>2169</v>
      </c>
      <c r="H540">
        <v>119.33</v>
      </c>
    </row>
    <row r="541" spans="1:8">
      <c r="A541">
        <v>6897</v>
      </c>
      <c r="B541" t="s">
        <v>2364</v>
      </c>
      <c r="C541">
        <v>5697</v>
      </c>
      <c r="D541" t="s">
        <v>2201</v>
      </c>
      <c r="E541" t="s">
        <v>2359</v>
      </c>
      <c r="F541">
        <v>202109</v>
      </c>
      <c r="G541" t="s">
        <v>2166</v>
      </c>
      <c r="H541">
        <v>12.33</v>
      </c>
    </row>
    <row r="542" spans="1:8">
      <c r="A542">
        <v>6897</v>
      </c>
      <c r="B542" t="s">
        <v>2364</v>
      </c>
      <c r="C542">
        <v>5697</v>
      </c>
      <c r="D542" t="s">
        <v>2201</v>
      </c>
      <c r="E542" t="s">
        <v>2359</v>
      </c>
      <c r="F542">
        <v>202109</v>
      </c>
      <c r="G542" t="s">
        <v>2167</v>
      </c>
      <c r="H542">
        <v>23.94</v>
      </c>
    </row>
    <row r="543" spans="1:8">
      <c r="A543">
        <v>6897</v>
      </c>
      <c r="B543" t="s">
        <v>2364</v>
      </c>
      <c r="C543">
        <v>5697</v>
      </c>
      <c r="D543" t="s">
        <v>2201</v>
      </c>
      <c r="E543" t="s">
        <v>2359</v>
      </c>
      <c r="F543">
        <v>202109</v>
      </c>
      <c r="G543" t="s">
        <v>2168</v>
      </c>
      <c r="H543">
        <v>10.17</v>
      </c>
    </row>
    <row r="544" spans="1:8">
      <c r="A544">
        <v>6897</v>
      </c>
      <c r="B544" t="s">
        <v>2364</v>
      </c>
      <c r="C544">
        <v>5697</v>
      </c>
      <c r="D544" t="s">
        <v>2201</v>
      </c>
      <c r="E544" t="s">
        <v>2359</v>
      </c>
      <c r="F544">
        <v>202109</v>
      </c>
      <c r="G544" t="s">
        <v>2171</v>
      </c>
      <c r="H544">
        <v>1852747.56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Normal="100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4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0" t="s">
        <v>198</v>
      </c>
      <c r="B9" s="500" t="s">
        <v>199</v>
      </c>
      <c r="C9" s="500" t="s">
        <v>200</v>
      </c>
      <c r="D9" s="500" t="s">
        <v>201</v>
      </c>
      <c r="E9" s="500" t="s">
        <v>202</v>
      </c>
      <c r="F9" s="500" t="s">
        <v>203</v>
      </c>
      <c r="G9" s="500" t="s">
        <v>210</v>
      </c>
      <c r="H9" s="501" t="s">
        <v>211</v>
      </c>
      <c r="I9" s="1730" t="s">
        <v>2286</v>
      </c>
      <c r="J9" s="500" t="s">
        <v>204</v>
      </c>
      <c r="K9" s="500" t="s">
        <v>205</v>
      </c>
      <c r="L9" s="500" t="s">
        <v>206</v>
      </c>
      <c r="M9" s="500" t="s">
        <v>207</v>
      </c>
      <c r="N9" s="500" t="s">
        <v>208</v>
      </c>
      <c r="O9" s="500" t="s">
        <v>212</v>
      </c>
      <c r="P9" s="501" t="s">
        <v>215</v>
      </c>
      <c r="Q9" s="501" t="s">
        <v>216</v>
      </c>
      <c r="R9" s="501" t="s">
        <v>217</v>
      </c>
      <c r="S9" s="501" t="s">
        <v>218</v>
      </c>
      <c r="T9" s="501" t="s">
        <v>2285</v>
      </c>
      <c r="X9" s="775" t="s">
        <v>198</v>
      </c>
      <c r="Y9" s="776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2" t="s">
        <v>220</v>
      </c>
      <c r="B10" s="612" t="s">
        <v>221</v>
      </c>
      <c r="C10" s="612">
        <v>5381</v>
      </c>
      <c r="D10" s="612" t="s">
        <v>222</v>
      </c>
      <c r="E10" s="612" t="s">
        <v>223</v>
      </c>
      <c r="F10" s="612" t="s">
        <v>224</v>
      </c>
      <c r="G10" s="612" t="s">
        <v>226</v>
      </c>
      <c r="H10" s="708" t="s">
        <v>227</v>
      </c>
      <c r="I10" s="1731">
        <v>44895</v>
      </c>
      <c r="J10" s="612">
        <v>8.1942000000000001E-2</v>
      </c>
      <c r="K10" s="612" t="s">
        <v>225</v>
      </c>
      <c r="L10" s="612">
        <v>104</v>
      </c>
      <c r="M10" s="612" t="s">
        <v>136</v>
      </c>
      <c r="N10" s="612">
        <v>145</v>
      </c>
      <c r="O10" s="612">
        <v>2024</v>
      </c>
      <c r="P10" s="1457">
        <v>0</v>
      </c>
      <c r="Q10" s="612"/>
      <c r="R10" s="708">
        <v>42613</v>
      </c>
      <c r="S10" s="708" t="s">
        <v>229</v>
      </c>
      <c r="T10" s="708"/>
      <c r="U10" s="233"/>
      <c r="V10" s="17"/>
      <c r="X10" s="779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2" t="s">
        <v>153</v>
      </c>
      <c r="B11" s="612" t="s">
        <v>231</v>
      </c>
      <c r="C11" s="612">
        <v>5366</v>
      </c>
      <c r="D11" s="612" t="s">
        <v>232</v>
      </c>
      <c r="E11" s="612" t="s">
        <v>233</v>
      </c>
      <c r="F11" s="612" t="s">
        <v>224</v>
      </c>
      <c r="G11" s="612" t="s">
        <v>234</v>
      </c>
      <c r="H11" s="708" t="s">
        <v>235</v>
      </c>
      <c r="I11" s="1731">
        <v>44834</v>
      </c>
      <c r="J11" s="612">
        <v>8.1942000000000001E-2</v>
      </c>
      <c r="K11" s="612" t="s">
        <v>136</v>
      </c>
      <c r="L11" s="612">
        <v>145</v>
      </c>
      <c r="M11" s="612"/>
      <c r="N11" s="612"/>
      <c r="O11" s="612">
        <v>2024</v>
      </c>
      <c r="P11" s="1457">
        <v>0</v>
      </c>
      <c r="Q11" s="612"/>
      <c r="R11" s="708">
        <v>42613</v>
      </c>
      <c r="S11" s="708" t="s">
        <v>229</v>
      </c>
      <c r="T11" s="708"/>
      <c r="U11" s="233"/>
      <c r="V11" s="17"/>
      <c r="X11" s="779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2" t="s">
        <v>236</v>
      </c>
      <c r="B12" s="612" t="s">
        <v>237</v>
      </c>
      <c r="C12" s="612">
        <v>5386</v>
      </c>
      <c r="D12" s="612" t="s">
        <v>238</v>
      </c>
      <c r="E12" s="612" t="s">
        <v>239</v>
      </c>
      <c r="F12" s="612" t="s">
        <v>224</v>
      </c>
      <c r="G12" s="612" t="s">
        <v>240</v>
      </c>
      <c r="H12" s="708" t="s">
        <v>235</v>
      </c>
      <c r="I12" s="1731">
        <v>44895</v>
      </c>
      <c r="J12" s="612">
        <v>8.1942000000000001E-2</v>
      </c>
      <c r="K12" s="612" t="s">
        <v>146</v>
      </c>
      <c r="L12" s="612">
        <v>135</v>
      </c>
      <c r="M12" s="612"/>
      <c r="N12" s="612"/>
      <c r="O12" s="612">
        <v>2024</v>
      </c>
      <c r="P12" s="1457">
        <v>0</v>
      </c>
      <c r="Q12" s="612"/>
      <c r="R12" s="708">
        <v>42673</v>
      </c>
      <c r="S12" s="708" t="s">
        <v>229</v>
      </c>
      <c r="T12" s="708"/>
      <c r="U12" s="233"/>
      <c r="V12" s="17"/>
      <c r="X12" s="779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2" t="s">
        <v>241</v>
      </c>
      <c r="B13" s="612" t="s">
        <v>242</v>
      </c>
      <c r="C13" s="612">
        <v>5378</v>
      </c>
      <c r="D13" s="612" t="s">
        <v>243</v>
      </c>
      <c r="E13" s="612" t="s">
        <v>244</v>
      </c>
      <c r="F13" s="612" t="s">
        <v>224</v>
      </c>
      <c r="G13" s="612" t="s">
        <v>245</v>
      </c>
      <c r="H13" s="708" t="s">
        <v>235</v>
      </c>
      <c r="I13" s="1731">
        <v>44680</v>
      </c>
      <c r="J13" s="612">
        <v>8.1942000000000001E-2</v>
      </c>
      <c r="K13" s="612" t="s">
        <v>166</v>
      </c>
      <c r="L13" s="612">
        <v>166</v>
      </c>
      <c r="M13" s="612" t="s">
        <v>136</v>
      </c>
      <c r="N13" s="612">
        <v>145</v>
      </c>
      <c r="O13" s="612">
        <v>2024</v>
      </c>
      <c r="P13" s="1457">
        <v>0</v>
      </c>
      <c r="Q13" s="612"/>
      <c r="R13" s="708">
        <v>42410</v>
      </c>
      <c r="S13" s="708" t="s">
        <v>229</v>
      </c>
      <c r="T13" s="708"/>
      <c r="U13" s="233"/>
      <c r="V13" s="17"/>
      <c r="X13" s="779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2" t="s">
        <v>246</v>
      </c>
      <c r="B14" s="612" t="s">
        <v>247</v>
      </c>
      <c r="C14" s="612">
        <v>5382</v>
      </c>
      <c r="D14" s="612" t="s">
        <v>248</v>
      </c>
      <c r="E14" s="612" t="s">
        <v>249</v>
      </c>
      <c r="F14" s="612" t="s">
        <v>224</v>
      </c>
      <c r="G14" s="612" t="s">
        <v>251</v>
      </c>
      <c r="H14" s="708" t="s">
        <v>235</v>
      </c>
      <c r="I14" s="1731">
        <v>44772</v>
      </c>
      <c r="J14" s="612">
        <v>8.1942000000000001E-2</v>
      </c>
      <c r="K14" s="612" t="s">
        <v>250</v>
      </c>
      <c r="L14" s="612">
        <v>148</v>
      </c>
      <c r="M14" s="612"/>
      <c r="N14" s="612"/>
      <c r="O14" s="612">
        <v>2024</v>
      </c>
      <c r="P14" s="1457">
        <v>0</v>
      </c>
      <c r="Q14" s="612"/>
      <c r="R14" s="708">
        <v>42562</v>
      </c>
      <c r="S14" s="708" t="s">
        <v>229</v>
      </c>
      <c r="T14" s="708"/>
      <c r="U14" s="233"/>
      <c r="V14" s="17"/>
      <c r="X14" s="779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2" t="s">
        <v>253</v>
      </c>
      <c r="B15" s="612" t="s">
        <v>254</v>
      </c>
      <c r="C15" s="612">
        <v>6610</v>
      </c>
      <c r="D15" s="612" t="s">
        <v>255</v>
      </c>
      <c r="E15" s="612" t="s">
        <v>256</v>
      </c>
      <c r="F15" s="612" t="s">
        <v>224</v>
      </c>
      <c r="G15" s="612" t="s">
        <v>257</v>
      </c>
      <c r="H15" s="708" t="s">
        <v>227</v>
      </c>
      <c r="I15" s="1731">
        <v>44895</v>
      </c>
      <c r="J15" s="612">
        <v>8.1942000000000001E-2</v>
      </c>
      <c r="K15" s="612" t="s">
        <v>225</v>
      </c>
      <c r="L15" s="612">
        <v>104</v>
      </c>
      <c r="M15" s="612"/>
      <c r="N15" s="612"/>
      <c r="O15" s="612">
        <v>2024</v>
      </c>
      <c r="P15" s="1457">
        <v>0</v>
      </c>
      <c r="Q15" s="612"/>
      <c r="R15" s="708">
        <v>42673</v>
      </c>
      <c r="S15" s="708" t="s">
        <v>229</v>
      </c>
      <c r="T15" s="708"/>
      <c r="U15" s="233"/>
      <c r="V15" s="17"/>
      <c r="X15" s="779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2" t="s">
        <v>259</v>
      </c>
      <c r="B16" s="612" t="s">
        <v>260</v>
      </c>
      <c r="C16" s="612">
        <v>6609</v>
      </c>
      <c r="D16" s="612" t="s">
        <v>261</v>
      </c>
      <c r="E16" s="612" t="s">
        <v>262</v>
      </c>
      <c r="F16" s="612" t="s">
        <v>224</v>
      </c>
      <c r="G16" s="612" t="s">
        <v>263</v>
      </c>
      <c r="H16" s="708" t="s">
        <v>264</v>
      </c>
      <c r="I16" s="1731">
        <v>44772</v>
      </c>
      <c r="J16" s="612">
        <v>8.1942000000000001E-2</v>
      </c>
      <c r="K16" s="612" t="s">
        <v>111</v>
      </c>
      <c r="L16" s="612">
        <v>165</v>
      </c>
      <c r="M16" s="612"/>
      <c r="N16" s="612"/>
      <c r="O16" s="612">
        <v>2024</v>
      </c>
      <c r="P16" s="1457">
        <v>0</v>
      </c>
      <c r="Q16" s="612"/>
      <c r="R16" s="708">
        <v>42507</v>
      </c>
      <c r="S16" s="708" t="s">
        <v>229</v>
      </c>
      <c r="T16" s="708"/>
      <c r="U16" s="233"/>
      <c r="V16" s="17"/>
      <c r="X16" s="779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2" t="s">
        <v>266</v>
      </c>
      <c r="B17" s="612" t="s">
        <v>267</v>
      </c>
      <c r="C17" s="612">
        <v>5384</v>
      </c>
      <c r="D17" s="612" t="s">
        <v>268</v>
      </c>
      <c r="E17" s="612" t="s">
        <v>269</v>
      </c>
      <c r="F17" s="612" t="s">
        <v>224</v>
      </c>
      <c r="G17" s="612" t="s">
        <v>270</v>
      </c>
      <c r="H17" s="708" t="s">
        <v>235</v>
      </c>
      <c r="I17" s="1731">
        <v>44710</v>
      </c>
      <c r="J17" s="612">
        <v>8.1942000000000001E-2</v>
      </c>
      <c r="K17" s="612" t="s">
        <v>125</v>
      </c>
      <c r="L17" s="612">
        <v>136</v>
      </c>
      <c r="M17" s="612"/>
      <c r="N17" s="612"/>
      <c r="O17" s="612">
        <v>2024</v>
      </c>
      <c r="P17" s="1457">
        <v>0</v>
      </c>
      <c r="Q17" s="612"/>
      <c r="R17" s="708">
        <v>42475</v>
      </c>
      <c r="S17" s="708" t="s">
        <v>229</v>
      </c>
      <c r="T17" s="708"/>
      <c r="U17" s="233"/>
      <c r="V17" s="17"/>
      <c r="X17" s="779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2" t="s">
        <v>271</v>
      </c>
      <c r="B18" s="612" t="s">
        <v>272</v>
      </c>
      <c r="C18" s="612">
        <v>5385</v>
      </c>
      <c r="D18" s="612" t="s">
        <v>273</v>
      </c>
      <c r="E18" s="612" t="s">
        <v>274</v>
      </c>
      <c r="F18" s="612" t="s">
        <v>224</v>
      </c>
      <c r="G18" s="612" t="s">
        <v>275</v>
      </c>
      <c r="H18" s="708" t="s">
        <v>264</v>
      </c>
      <c r="I18" s="1731">
        <v>44710</v>
      </c>
      <c r="J18" s="612">
        <v>8.1942000000000001E-2</v>
      </c>
      <c r="K18" s="612" t="s">
        <v>125</v>
      </c>
      <c r="L18" s="612">
        <v>136</v>
      </c>
      <c r="M18" s="612" t="s">
        <v>111</v>
      </c>
      <c r="N18" s="612">
        <v>165</v>
      </c>
      <c r="O18" s="612">
        <v>2024</v>
      </c>
      <c r="P18" s="1457">
        <v>0</v>
      </c>
      <c r="Q18" s="612"/>
      <c r="R18" s="708">
        <v>42475</v>
      </c>
      <c r="S18" s="708" t="s">
        <v>229</v>
      </c>
      <c r="T18" s="708"/>
      <c r="U18" s="233"/>
      <c r="V18" s="17"/>
      <c r="X18" s="779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2" t="s">
        <v>277</v>
      </c>
      <c r="B19" s="612" t="s">
        <v>278</v>
      </c>
      <c r="C19" s="612">
        <v>5379</v>
      </c>
      <c r="D19" s="612" t="s">
        <v>279</v>
      </c>
      <c r="E19" s="612" t="s">
        <v>280</v>
      </c>
      <c r="F19" s="612" t="s">
        <v>224</v>
      </c>
      <c r="G19" s="612" t="s">
        <v>281</v>
      </c>
      <c r="H19" s="708" t="s">
        <v>235</v>
      </c>
      <c r="I19" s="1731">
        <v>44895</v>
      </c>
      <c r="J19" s="612">
        <v>8.1942000000000001E-2</v>
      </c>
      <c r="K19" s="612" t="s">
        <v>146</v>
      </c>
      <c r="L19" s="612">
        <v>135</v>
      </c>
      <c r="M19" s="612" t="s">
        <v>136</v>
      </c>
      <c r="N19" s="612">
        <v>145</v>
      </c>
      <c r="O19" s="612">
        <v>2024</v>
      </c>
      <c r="P19" s="1457">
        <v>0</v>
      </c>
      <c r="Q19" s="612"/>
      <c r="R19" s="708">
        <v>42673</v>
      </c>
      <c r="S19" s="708" t="s">
        <v>229</v>
      </c>
      <c r="T19" s="708"/>
      <c r="U19" s="233"/>
      <c r="V19" s="17"/>
      <c r="X19" s="779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2" t="s">
        <v>252</v>
      </c>
      <c r="B20" s="612" t="s">
        <v>282</v>
      </c>
      <c r="C20" s="612">
        <v>5372</v>
      </c>
      <c r="D20" s="612" t="s">
        <v>283</v>
      </c>
      <c r="E20" s="612" t="s">
        <v>284</v>
      </c>
      <c r="F20" s="612" t="s">
        <v>285</v>
      </c>
      <c r="G20" s="612" t="s">
        <v>286</v>
      </c>
      <c r="H20" s="708" t="s">
        <v>287</v>
      </c>
      <c r="I20" s="1731">
        <v>44834</v>
      </c>
      <c r="J20" s="612">
        <v>8.1942000000000001E-2</v>
      </c>
      <c r="K20" s="612" t="s">
        <v>155</v>
      </c>
      <c r="L20" s="612">
        <v>111</v>
      </c>
      <c r="M20" s="612"/>
      <c r="N20" s="612"/>
      <c r="O20" s="612">
        <v>2024</v>
      </c>
      <c r="P20" s="1457">
        <v>0</v>
      </c>
      <c r="Q20" s="612"/>
      <c r="R20" s="708">
        <v>42641</v>
      </c>
      <c r="S20" s="708" t="s">
        <v>229</v>
      </c>
      <c r="T20" s="708"/>
      <c r="U20" s="233"/>
      <c r="V20" s="17"/>
      <c r="X20" s="779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2" t="s">
        <v>9</v>
      </c>
      <c r="B21" s="612" t="s">
        <v>288</v>
      </c>
      <c r="C21" s="612">
        <v>5367</v>
      </c>
      <c r="D21" s="612" t="s">
        <v>289</v>
      </c>
      <c r="E21" s="612" t="s">
        <v>290</v>
      </c>
      <c r="F21" s="612" t="s">
        <v>285</v>
      </c>
      <c r="G21" s="612" t="s">
        <v>292</v>
      </c>
      <c r="H21" s="708" t="s">
        <v>293</v>
      </c>
      <c r="I21" s="1731">
        <v>44917</v>
      </c>
      <c r="J21" s="612">
        <v>8.1942000000000001E-2</v>
      </c>
      <c r="K21" s="612" t="s">
        <v>155</v>
      </c>
      <c r="L21" s="612">
        <v>111</v>
      </c>
      <c r="M21" s="612" t="s">
        <v>291</v>
      </c>
      <c r="N21" s="612">
        <v>110</v>
      </c>
      <c r="O21" s="612">
        <v>2025</v>
      </c>
      <c r="P21" s="1457">
        <v>0</v>
      </c>
      <c r="Q21" s="612"/>
      <c r="R21" s="708">
        <v>42641</v>
      </c>
      <c r="S21" s="708" t="s">
        <v>229</v>
      </c>
      <c r="T21" s="708"/>
      <c r="U21" s="233"/>
      <c r="V21" s="17"/>
      <c r="X21" s="779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2" t="s">
        <v>276</v>
      </c>
      <c r="B22" s="612" t="s">
        <v>295</v>
      </c>
      <c r="C22" s="612">
        <v>6897</v>
      </c>
      <c r="D22" s="612" t="s">
        <v>296</v>
      </c>
      <c r="E22" s="612" t="s">
        <v>297</v>
      </c>
      <c r="F22" s="612" t="s">
        <v>285</v>
      </c>
      <c r="G22" s="612" t="s">
        <v>298</v>
      </c>
      <c r="H22" s="708" t="s">
        <v>287</v>
      </c>
      <c r="I22" s="1731">
        <v>44834</v>
      </c>
      <c r="J22" s="612">
        <v>8.1942000000000001E-2</v>
      </c>
      <c r="K22" s="612" t="s">
        <v>155</v>
      </c>
      <c r="L22" s="612">
        <v>111</v>
      </c>
      <c r="M22" s="612"/>
      <c r="N22" s="612"/>
      <c r="O22" s="612">
        <v>2024</v>
      </c>
      <c r="P22" s="1457">
        <v>0</v>
      </c>
      <c r="Q22" s="612"/>
      <c r="R22" s="708">
        <v>42641</v>
      </c>
      <c r="S22" s="708" t="s">
        <v>229</v>
      </c>
      <c r="T22" s="708"/>
      <c r="U22" s="233"/>
      <c r="V22" s="17"/>
      <c r="X22" s="779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2" t="s">
        <v>150</v>
      </c>
      <c r="B23" s="612" t="s">
        <v>300</v>
      </c>
      <c r="C23" s="612">
        <v>5351</v>
      </c>
      <c r="D23" s="612" t="s">
        <v>301</v>
      </c>
      <c r="E23" s="612" t="s">
        <v>302</v>
      </c>
      <c r="F23" s="612" t="s">
        <v>285</v>
      </c>
      <c r="G23" s="612" t="s">
        <v>303</v>
      </c>
      <c r="H23" s="708" t="s">
        <v>287</v>
      </c>
      <c r="I23" s="1731">
        <v>44895</v>
      </c>
      <c r="J23" s="612">
        <v>8.1942000000000001E-2</v>
      </c>
      <c r="K23" s="612" t="s">
        <v>299</v>
      </c>
      <c r="L23" s="612">
        <v>220</v>
      </c>
      <c r="M23" s="612"/>
      <c r="N23" s="612"/>
      <c r="O23" s="612">
        <v>2024</v>
      </c>
      <c r="P23" s="1457">
        <v>0</v>
      </c>
      <c r="Q23" s="612"/>
      <c r="R23" s="708">
        <v>42641</v>
      </c>
      <c r="S23" s="708" t="s">
        <v>229</v>
      </c>
      <c r="T23" s="708"/>
      <c r="U23" s="233"/>
      <c r="V23" s="17"/>
      <c r="X23" s="779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2" t="s">
        <v>299</v>
      </c>
      <c r="B24" s="612" t="s">
        <v>305</v>
      </c>
      <c r="C24" s="612">
        <v>6898</v>
      </c>
      <c r="D24" s="612" t="s">
        <v>306</v>
      </c>
      <c r="E24" s="612" t="s">
        <v>307</v>
      </c>
      <c r="F24" s="612" t="s">
        <v>285</v>
      </c>
      <c r="G24" s="612" t="s">
        <v>308</v>
      </c>
      <c r="H24" s="708" t="s">
        <v>287</v>
      </c>
      <c r="I24" s="1731">
        <v>44834</v>
      </c>
      <c r="J24" s="612">
        <v>8.1942000000000001E-2</v>
      </c>
      <c r="K24" s="612" t="s">
        <v>155</v>
      </c>
      <c r="L24" s="612">
        <v>111</v>
      </c>
      <c r="M24" s="612"/>
      <c r="N24" s="612"/>
      <c r="O24" s="612">
        <v>2024</v>
      </c>
      <c r="P24" s="1457">
        <v>0</v>
      </c>
      <c r="Q24" s="612"/>
      <c r="R24" s="708">
        <v>42641</v>
      </c>
      <c r="S24" s="708" t="s">
        <v>229</v>
      </c>
      <c r="T24" s="708"/>
      <c r="U24" s="233"/>
      <c r="V24" s="17"/>
      <c r="X24" s="779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2" t="s">
        <v>310</v>
      </c>
      <c r="B25" s="612" t="s">
        <v>311</v>
      </c>
      <c r="C25" s="612">
        <v>5352</v>
      </c>
      <c r="D25" s="612" t="s">
        <v>312</v>
      </c>
      <c r="E25" s="612" t="s">
        <v>313</v>
      </c>
      <c r="F25" s="612" t="s">
        <v>285</v>
      </c>
      <c r="G25" s="612" t="s">
        <v>314</v>
      </c>
      <c r="H25" s="708" t="s">
        <v>315</v>
      </c>
      <c r="I25" s="1731">
        <v>44834</v>
      </c>
      <c r="J25" s="612">
        <v>8.1942000000000001E-2</v>
      </c>
      <c r="K25" s="612" t="s">
        <v>155</v>
      </c>
      <c r="L25" s="612">
        <v>111</v>
      </c>
      <c r="M25" s="612"/>
      <c r="N25" s="612"/>
      <c r="O25" s="612">
        <v>2024</v>
      </c>
      <c r="P25" s="1457">
        <v>0</v>
      </c>
      <c r="Q25" s="612"/>
      <c r="R25" s="708">
        <v>42641</v>
      </c>
      <c r="S25" s="708" t="s">
        <v>229</v>
      </c>
      <c r="T25" s="708"/>
      <c r="U25" s="233"/>
      <c r="V25" s="17"/>
      <c r="X25" s="779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2" t="s">
        <v>151</v>
      </c>
      <c r="B26" s="612" t="s">
        <v>316</v>
      </c>
      <c r="C26" s="612">
        <v>5353</v>
      </c>
      <c r="D26" s="612" t="s">
        <v>317</v>
      </c>
      <c r="E26" s="612" t="s">
        <v>318</v>
      </c>
      <c r="F26" s="612" t="s">
        <v>285</v>
      </c>
      <c r="G26" s="612" t="s">
        <v>319</v>
      </c>
      <c r="H26" s="708" t="s">
        <v>320</v>
      </c>
      <c r="I26" s="1731">
        <v>44834</v>
      </c>
      <c r="J26" s="612">
        <v>8.1942000000000001E-2</v>
      </c>
      <c r="K26" s="612" t="s">
        <v>155</v>
      </c>
      <c r="L26" s="612">
        <v>111</v>
      </c>
      <c r="M26" s="612"/>
      <c r="N26" s="612"/>
      <c r="O26" s="612">
        <v>2024</v>
      </c>
      <c r="P26" s="1457">
        <v>0</v>
      </c>
      <c r="Q26" s="612"/>
      <c r="R26" s="708">
        <v>42641</v>
      </c>
      <c r="S26" s="708" t="s">
        <v>229</v>
      </c>
      <c r="T26" s="708"/>
      <c r="U26" s="233"/>
      <c r="V26" s="17"/>
      <c r="X26" s="779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2" t="s">
        <v>321</v>
      </c>
      <c r="B27" s="612" t="s">
        <v>322</v>
      </c>
      <c r="C27" s="612">
        <v>5355</v>
      </c>
      <c r="D27" s="612" t="s">
        <v>323</v>
      </c>
      <c r="E27" s="612" t="s">
        <v>324</v>
      </c>
      <c r="F27" s="612" t="s">
        <v>285</v>
      </c>
      <c r="G27" s="612" t="s">
        <v>325</v>
      </c>
      <c r="H27" s="708" t="s">
        <v>326</v>
      </c>
      <c r="I27" s="1731">
        <v>44834</v>
      </c>
      <c r="J27" s="612">
        <v>8.1942000000000001E-2</v>
      </c>
      <c r="K27" s="612" t="s">
        <v>155</v>
      </c>
      <c r="L27" s="612">
        <v>111</v>
      </c>
      <c r="M27" s="612"/>
      <c r="N27" s="612"/>
      <c r="O27" s="612">
        <v>2025</v>
      </c>
      <c r="P27" s="1457">
        <v>0</v>
      </c>
      <c r="Q27" s="612"/>
      <c r="R27" s="708">
        <v>42641</v>
      </c>
      <c r="S27" s="708" t="s">
        <v>229</v>
      </c>
      <c r="T27" s="708"/>
      <c r="U27" s="233"/>
      <c r="V27" s="17"/>
      <c r="X27" s="779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2" t="s">
        <v>328</v>
      </c>
      <c r="B28" s="612" t="s">
        <v>329</v>
      </c>
      <c r="C28" s="612">
        <v>5363</v>
      </c>
      <c r="D28" s="612" t="s">
        <v>330</v>
      </c>
      <c r="E28" s="612" t="s">
        <v>331</v>
      </c>
      <c r="F28" s="612" t="s">
        <v>285</v>
      </c>
      <c r="G28" s="612" t="s">
        <v>332</v>
      </c>
      <c r="H28" s="708" t="s">
        <v>287</v>
      </c>
      <c r="I28" s="1731">
        <v>44834</v>
      </c>
      <c r="J28" s="612">
        <v>8.1942000000000001E-2</v>
      </c>
      <c r="K28" s="612" t="s">
        <v>155</v>
      </c>
      <c r="L28" s="612">
        <v>111</v>
      </c>
      <c r="M28" s="612"/>
      <c r="N28" s="612"/>
      <c r="O28" s="612">
        <v>2024</v>
      </c>
      <c r="P28" s="1457">
        <v>0</v>
      </c>
      <c r="Q28" s="612"/>
      <c r="R28" s="708">
        <v>42641</v>
      </c>
      <c r="S28" s="708" t="s">
        <v>229</v>
      </c>
      <c r="T28" s="708"/>
      <c r="U28" s="233"/>
      <c r="V28" s="17"/>
      <c r="X28" s="779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2" t="s">
        <v>333</v>
      </c>
      <c r="B29" s="612" t="s">
        <v>334</v>
      </c>
      <c r="C29" s="612">
        <v>5364</v>
      </c>
      <c r="D29" s="612" t="s">
        <v>335</v>
      </c>
      <c r="E29" s="612" t="s">
        <v>336</v>
      </c>
      <c r="F29" s="612" t="s">
        <v>285</v>
      </c>
      <c r="G29" s="612" t="s">
        <v>337</v>
      </c>
      <c r="H29" s="708" t="s">
        <v>338</v>
      </c>
      <c r="I29" s="1731">
        <v>44834</v>
      </c>
      <c r="J29" s="612">
        <v>8.1942000000000001E-2</v>
      </c>
      <c r="K29" s="612" t="s">
        <v>155</v>
      </c>
      <c r="L29" s="612">
        <v>111</v>
      </c>
      <c r="M29" s="612"/>
      <c r="N29" s="612"/>
      <c r="O29" s="612">
        <v>2022</v>
      </c>
      <c r="P29" s="1457">
        <v>0</v>
      </c>
      <c r="Q29" s="612"/>
      <c r="R29" s="708">
        <v>42641</v>
      </c>
      <c r="S29" s="708" t="s">
        <v>229</v>
      </c>
      <c r="T29" s="708"/>
      <c r="U29" s="233"/>
      <c r="V29" s="17"/>
      <c r="X29" s="779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2" t="s">
        <v>339</v>
      </c>
      <c r="B30" s="612" t="s">
        <v>340</v>
      </c>
      <c r="C30" s="612">
        <v>5365</v>
      </c>
      <c r="D30" s="612" t="s">
        <v>341</v>
      </c>
      <c r="E30" s="612" t="s">
        <v>342</v>
      </c>
      <c r="F30" s="612" t="s">
        <v>285</v>
      </c>
      <c r="G30" s="612" t="s">
        <v>343</v>
      </c>
      <c r="H30" s="708" t="s">
        <v>287</v>
      </c>
      <c r="I30" s="1731">
        <v>44834</v>
      </c>
      <c r="J30" s="612">
        <v>8.1942000000000001E-2</v>
      </c>
      <c r="K30" s="612" t="s">
        <v>155</v>
      </c>
      <c r="L30" s="612">
        <v>111</v>
      </c>
      <c r="M30" s="612"/>
      <c r="N30" s="612"/>
      <c r="O30" s="612">
        <v>2024</v>
      </c>
      <c r="P30" s="1457">
        <v>0</v>
      </c>
      <c r="Q30" s="612"/>
      <c r="R30" s="708">
        <v>42641</v>
      </c>
      <c r="S30" s="708" t="s">
        <v>229</v>
      </c>
      <c r="T30" s="708"/>
      <c r="U30" s="233"/>
      <c r="V30" s="17"/>
      <c r="X30" s="779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2" t="s">
        <v>344</v>
      </c>
      <c r="B31" s="612" t="s">
        <v>345</v>
      </c>
      <c r="C31" s="612">
        <v>5368</v>
      </c>
      <c r="D31" s="612" t="s">
        <v>346</v>
      </c>
      <c r="E31" s="612" t="s">
        <v>347</v>
      </c>
      <c r="F31" s="612" t="s">
        <v>285</v>
      </c>
      <c r="G31" s="612" t="s">
        <v>348</v>
      </c>
      <c r="H31" s="708" t="s">
        <v>287</v>
      </c>
      <c r="I31" s="1731">
        <v>44834</v>
      </c>
      <c r="J31" s="612">
        <v>8.1942000000000001E-2</v>
      </c>
      <c r="K31" s="612" t="s">
        <v>155</v>
      </c>
      <c r="L31" s="612">
        <v>111</v>
      </c>
      <c r="M31" s="612"/>
      <c r="N31" s="612"/>
      <c r="O31" s="612">
        <v>2024</v>
      </c>
      <c r="P31" s="1457">
        <v>0</v>
      </c>
      <c r="Q31" s="612"/>
      <c r="R31" s="708">
        <v>42641</v>
      </c>
      <c r="S31" s="708" t="s">
        <v>229</v>
      </c>
      <c r="T31" s="708"/>
      <c r="U31" s="233"/>
      <c r="V31" s="17"/>
      <c r="X31" s="779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2" t="s">
        <v>349</v>
      </c>
      <c r="B32" s="612" t="s">
        <v>350</v>
      </c>
      <c r="C32" s="612">
        <v>5369</v>
      </c>
      <c r="D32" s="612" t="s">
        <v>351</v>
      </c>
      <c r="E32" s="612" t="s">
        <v>352</v>
      </c>
      <c r="F32" s="612" t="s">
        <v>285</v>
      </c>
      <c r="G32" s="612" t="s">
        <v>353</v>
      </c>
      <c r="H32" s="708" t="s">
        <v>326</v>
      </c>
      <c r="I32" s="1731">
        <v>44834</v>
      </c>
      <c r="J32" s="612">
        <v>8.1942000000000001E-2</v>
      </c>
      <c r="K32" s="612" t="s">
        <v>155</v>
      </c>
      <c r="L32" s="612">
        <v>111</v>
      </c>
      <c r="M32" s="612"/>
      <c r="N32" s="612"/>
      <c r="O32" s="612">
        <v>2025</v>
      </c>
      <c r="P32" s="1457">
        <v>0</v>
      </c>
      <c r="Q32" s="612"/>
      <c r="R32" s="708">
        <v>42641</v>
      </c>
      <c r="S32" s="708" t="s">
        <v>229</v>
      </c>
      <c r="T32" s="708"/>
      <c r="U32" s="233"/>
      <c r="V32" s="17"/>
      <c r="X32" s="779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2" t="s">
        <v>154</v>
      </c>
      <c r="B33" s="612" t="s">
        <v>354</v>
      </c>
      <c r="C33" s="612">
        <v>5370</v>
      </c>
      <c r="D33" s="612" t="s">
        <v>355</v>
      </c>
      <c r="E33" s="612" t="s">
        <v>356</v>
      </c>
      <c r="F33" s="612" t="s">
        <v>285</v>
      </c>
      <c r="G33" s="612" t="s">
        <v>357</v>
      </c>
      <c r="H33" s="708" t="s">
        <v>287</v>
      </c>
      <c r="I33" s="1731">
        <v>44834</v>
      </c>
      <c r="J33" s="612">
        <v>8.1942000000000001E-2</v>
      </c>
      <c r="K33" s="612" t="s">
        <v>155</v>
      </c>
      <c r="L33" s="612">
        <v>111</v>
      </c>
      <c r="M33" s="612"/>
      <c r="N33" s="612"/>
      <c r="O33" s="612">
        <v>2024</v>
      </c>
      <c r="P33" s="1457">
        <v>0</v>
      </c>
      <c r="Q33" s="612"/>
      <c r="R33" s="708">
        <v>42641</v>
      </c>
      <c r="S33" s="708" t="s">
        <v>229</v>
      </c>
      <c r="T33" s="708"/>
      <c r="U33" s="233"/>
      <c r="V33" s="17"/>
      <c r="X33" s="779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2" t="s">
        <v>358</v>
      </c>
      <c r="B34" s="612" t="s">
        <v>359</v>
      </c>
      <c r="C34" s="612">
        <v>5371</v>
      </c>
      <c r="D34" s="612" t="s">
        <v>360</v>
      </c>
      <c r="E34" s="612" t="s">
        <v>361</v>
      </c>
      <c r="F34" s="612" t="s">
        <v>285</v>
      </c>
      <c r="G34" s="612" t="s">
        <v>363</v>
      </c>
      <c r="H34" s="708" t="s">
        <v>364</v>
      </c>
      <c r="I34" s="1731">
        <v>44834</v>
      </c>
      <c r="J34" s="612">
        <v>8.1942000000000001E-2</v>
      </c>
      <c r="K34" s="612" t="s">
        <v>155</v>
      </c>
      <c r="L34" s="612">
        <v>111</v>
      </c>
      <c r="M34" s="612" t="s">
        <v>362</v>
      </c>
      <c r="N34" s="612">
        <v>144</v>
      </c>
      <c r="O34" s="612">
        <v>2022</v>
      </c>
      <c r="P34" s="1457">
        <v>0</v>
      </c>
      <c r="Q34" s="612"/>
      <c r="R34" s="708">
        <v>42641</v>
      </c>
      <c r="S34" s="708" t="s">
        <v>229</v>
      </c>
      <c r="T34" s="708"/>
      <c r="U34" s="233"/>
      <c r="V34" s="17"/>
      <c r="X34" s="779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2" t="s">
        <v>365</v>
      </c>
      <c r="B35" s="612" t="s">
        <v>366</v>
      </c>
      <c r="C35" s="612">
        <v>5373</v>
      </c>
      <c r="D35" s="612" t="s">
        <v>367</v>
      </c>
      <c r="E35" s="612" t="s">
        <v>368</v>
      </c>
      <c r="F35" s="612" t="s">
        <v>285</v>
      </c>
      <c r="G35" s="612" t="s">
        <v>369</v>
      </c>
      <c r="H35" s="708" t="s">
        <v>320</v>
      </c>
      <c r="I35" s="1731">
        <v>44834</v>
      </c>
      <c r="J35" s="612">
        <v>8.1942000000000001E-2</v>
      </c>
      <c r="K35" s="612" t="s">
        <v>155</v>
      </c>
      <c r="L35" s="612">
        <v>111</v>
      </c>
      <c r="M35" s="612"/>
      <c r="N35" s="612"/>
      <c r="O35" s="612">
        <v>2024</v>
      </c>
      <c r="P35" s="1457">
        <v>0</v>
      </c>
      <c r="Q35" s="612"/>
      <c r="R35" s="708">
        <v>42641</v>
      </c>
      <c r="S35" s="708" t="s">
        <v>229</v>
      </c>
      <c r="T35" s="708"/>
      <c r="U35" s="233"/>
      <c r="V35" s="17"/>
      <c r="X35" s="779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2" t="s">
        <v>370</v>
      </c>
      <c r="B36" s="612" t="s">
        <v>371</v>
      </c>
      <c r="C36" s="612">
        <v>7016</v>
      </c>
      <c r="D36" s="612" t="s">
        <v>372</v>
      </c>
      <c r="E36" s="612" t="s">
        <v>373</v>
      </c>
      <c r="F36" s="612" t="s">
        <v>285</v>
      </c>
      <c r="G36" s="612" t="s">
        <v>374</v>
      </c>
      <c r="H36" s="708" t="s">
        <v>287</v>
      </c>
      <c r="I36" s="1731">
        <v>44834</v>
      </c>
      <c r="J36" s="612">
        <v>8.1942000000000001E-2</v>
      </c>
      <c r="K36" s="612" t="s">
        <v>155</v>
      </c>
      <c r="L36" s="612">
        <v>111</v>
      </c>
      <c r="M36" s="612"/>
      <c r="N36" s="612"/>
      <c r="O36" s="612">
        <v>2024</v>
      </c>
      <c r="P36" s="1457">
        <v>0</v>
      </c>
      <c r="Q36" s="612"/>
      <c r="R36" s="708">
        <v>42641</v>
      </c>
      <c r="S36" s="708" t="s">
        <v>229</v>
      </c>
      <c r="T36" s="708"/>
      <c r="U36" s="233"/>
      <c r="V36" s="17"/>
      <c r="X36" s="779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2" t="s">
        <v>144</v>
      </c>
      <c r="B37" s="612" t="s">
        <v>376</v>
      </c>
      <c r="C37" s="612">
        <v>2763</v>
      </c>
      <c r="D37" s="612" t="s">
        <v>377</v>
      </c>
      <c r="E37" s="612" t="s">
        <v>378</v>
      </c>
      <c r="F37" s="612" t="s">
        <v>379</v>
      </c>
      <c r="G37" s="612" t="s">
        <v>380</v>
      </c>
      <c r="H37" s="708" t="s">
        <v>381</v>
      </c>
      <c r="I37" s="1731">
        <v>44772</v>
      </c>
      <c r="J37" s="612">
        <v>8.1942000000000001E-2</v>
      </c>
      <c r="K37" s="612" t="s">
        <v>167</v>
      </c>
      <c r="L37" s="612">
        <v>167</v>
      </c>
      <c r="M37" s="612"/>
      <c r="N37" s="612"/>
      <c r="O37" s="612">
        <v>2022</v>
      </c>
      <c r="P37" s="1457">
        <v>0</v>
      </c>
      <c r="Q37" s="612"/>
      <c r="R37" s="708">
        <v>42551</v>
      </c>
      <c r="S37" s="708" t="s">
        <v>229</v>
      </c>
      <c r="T37" s="708"/>
      <c r="U37" s="233"/>
      <c r="V37" s="17"/>
      <c r="X37" s="779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2" t="s">
        <v>375</v>
      </c>
      <c r="B38" s="612" t="s">
        <v>382</v>
      </c>
      <c r="C38" s="612">
        <v>2381</v>
      </c>
      <c r="D38" s="612" t="s">
        <v>383</v>
      </c>
      <c r="E38" s="612" t="s">
        <v>384</v>
      </c>
      <c r="F38" s="612" t="s">
        <v>379</v>
      </c>
      <c r="G38" s="612" t="s">
        <v>385</v>
      </c>
      <c r="H38" s="708" t="s">
        <v>386</v>
      </c>
      <c r="I38" s="1731">
        <v>44772</v>
      </c>
      <c r="J38" s="612">
        <v>8.1942000000000001E-2</v>
      </c>
      <c r="K38" s="612" t="s">
        <v>167</v>
      </c>
      <c r="L38" s="612">
        <v>167</v>
      </c>
      <c r="M38" s="612"/>
      <c r="N38" s="612"/>
      <c r="O38" s="612">
        <v>2025</v>
      </c>
      <c r="P38" s="1457">
        <v>69.23</v>
      </c>
      <c r="Q38" s="708">
        <v>42917</v>
      </c>
      <c r="R38" s="708">
        <v>42551</v>
      </c>
      <c r="S38" s="708" t="s">
        <v>229</v>
      </c>
      <c r="T38" s="708"/>
      <c r="U38" s="233"/>
      <c r="V38" s="17"/>
      <c r="X38" s="779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2" t="s">
        <v>387</v>
      </c>
      <c r="B39" s="612" t="s">
        <v>388</v>
      </c>
      <c r="C39" s="612">
        <v>3223</v>
      </c>
      <c r="D39" s="612" t="s">
        <v>389</v>
      </c>
      <c r="E39" s="612" t="s">
        <v>390</v>
      </c>
      <c r="F39" s="612" t="s">
        <v>379</v>
      </c>
      <c r="G39" s="612" t="s">
        <v>391</v>
      </c>
      <c r="H39" s="708" t="s">
        <v>392</v>
      </c>
      <c r="I39" s="1731">
        <v>44772</v>
      </c>
      <c r="J39" s="612">
        <v>8.1942000000000001E-2</v>
      </c>
      <c r="K39" s="612" t="s">
        <v>167</v>
      </c>
      <c r="L39" s="612">
        <v>167</v>
      </c>
      <c r="M39" s="612" t="s">
        <v>291</v>
      </c>
      <c r="N39" s="612">
        <v>110</v>
      </c>
      <c r="O39" s="612">
        <v>2025</v>
      </c>
      <c r="P39" s="1457">
        <v>0</v>
      </c>
      <c r="Q39" s="612"/>
      <c r="R39" s="708">
        <v>42486</v>
      </c>
      <c r="S39" s="708" t="s">
        <v>229</v>
      </c>
      <c r="T39" s="708"/>
      <c r="U39" s="233"/>
      <c r="V39" s="17"/>
      <c r="X39" s="779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2" t="s">
        <v>165</v>
      </c>
      <c r="B40" s="612" t="s">
        <v>393</v>
      </c>
      <c r="C40" s="612">
        <v>7371</v>
      </c>
      <c r="D40" s="612" t="s">
        <v>394</v>
      </c>
      <c r="E40" s="612" t="s">
        <v>395</v>
      </c>
      <c r="F40" s="612" t="s">
        <v>379</v>
      </c>
      <c r="G40" s="612" t="s">
        <v>396</v>
      </c>
      <c r="H40" s="708" t="s">
        <v>397</v>
      </c>
      <c r="I40" s="1731">
        <v>44772</v>
      </c>
      <c r="J40" s="612">
        <v>8.1942000000000001E-2</v>
      </c>
      <c r="K40" s="612" t="s">
        <v>167</v>
      </c>
      <c r="L40" s="612">
        <v>167</v>
      </c>
      <c r="M40" s="612"/>
      <c r="N40" s="612"/>
      <c r="O40" s="612">
        <v>2022</v>
      </c>
      <c r="P40" s="1457">
        <v>0</v>
      </c>
      <c r="Q40" s="612"/>
      <c r="R40" s="708">
        <v>42547</v>
      </c>
      <c r="S40" s="708" t="s">
        <v>229</v>
      </c>
      <c r="T40" s="708"/>
      <c r="U40" s="233"/>
      <c r="V40" s="17"/>
      <c r="X40" s="779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2" t="s">
        <v>398</v>
      </c>
      <c r="B41" s="612" t="s">
        <v>399</v>
      </c>
      <c r="C41" s="612">
        <v>3627</v>
      </c>
      <c r="D41" s="612" t="s">
        <v>400</v>
      </c>
      <c r="E41" s="612" t="s">
        <v>401</v>
      </c>
      <c r="F41" s="612" t="s">
        <v>379</v>
      </c>
      <c r="G41" s="612" t="s">
        <v>402</v>
      </c>
      <c r="H41" s="708" t="s">
        <v>397</v>
      </c>
      <c r="I41" s="1731">
        <v>44772</v>
      </c>
      <c r="J41" s="612">
        <v>8.1942000000000001E-2</v>
      </c>
      <c r="K41" s="612" t="s">
        <v>167</v>
      </c>
      <c r="L41" s="612">
        <v>167</v>
      </c>
      <c r="M41" s="612"/>
      <c r="N41" s="612"/>
      <c r="O41" s="612">
        <v>2025</v>
      </c>
      <c r="P41" s="1457">
        <v>0</v>
      </c>
      <c r="Q41" s="612"/>
      <c r="R41" s="708">
        <v>42551</v>
      </c>
      <c r="S41" s="708" t="s">
        <v>229</v>
      </c>
      <c r="T41" s="708"/>
      <c r="U41" s="233"/>
      <c r="V41" s="17"/>
      <c r="X41" s="779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2" t="s">
        <v>403</v>
      </c>
      <c r="B42" s="612" t="s">
        <v>404</v>
      </c>
      <c r="C42" s="612">
        <v>2351</v>
      </c>
      <c r="D42" s="612" t="s">
        <v>405</v>
      </c>
      <c r="E42" s="612" t="s">
        <v>406</v>
      </c>
      <c r="F42" s="612" t="s">
        <v>379</v>
      </c>
      <c r="G42" s="612" t="s">
        <v>407</v>
      </c>
      <c r="H42" s="708" t="s">
        <v>408</v>
      </c>
      <c r="I42" s="1731">
        <v>44772</v>
      </c>
      <c r="J42" s="612">
        <v>8.1942000000000001E-2</v>
      </c>
      <c r="K42" s="612" t="s">
        <v>167</v>
      </c>
      <c r="L42" s="612">
        <v>167</v>
      </c>
      <c r="M42" s="612"/>
      <c r="N42" s="612"/>
      <c r="O42" s="612">
        <v>2025</v>
      </c>
      <c r="P42" s="1457">
        <v>0</v>
      </c>
      <c r="Q42" s="612"/>
      <c r="R42" s="708">
        <v>42551</v>
      </c>
      <c r="S42" s="708" t="s">
        <v>229</v>
      </c>
      <c r="T42" s="708"/>
      <c r="U42" s="233"/>
      <c r="V42" s="17"/>
      <c r="X42" s="779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2" t="s">
        <v>143</v>
      </c>
      <c r="B43" s="612" t="s">
        <v>410</v>
      </c>
      <c r="C43" s="612">
        <v>598</v>
      </c>
      <c r="D43" s="612" t="s">
        <v>411</v>
      </c>
      <c r="E43" s="612" t="s">
        <v>412</v>
      </c>
      <c r="F43" s="612" t="s">
        <v>379</v>
      </c>
      <c r="G43" s="612" t="s">
        <v>413</v>
      </c>
      <c r="H43" s="708" t="s">
        <v>397</v>
      </c>
      <c r="I43" s="1731">
        <v>44772</v>
      </c>
      <c r="J43" s="612">
        <v>8.1942000000000001E-2</v>
      </c>
      <c r="K43" s="612" t="s">
        <v>167</v>
      </c>
      <c r="L43" s="612">
        <v>167</v>
      </c>
      <c r="M43" s="612"/>
      <c r="N43" s="612"/>
      <c r="O43" s="612">
        <v>2022</v>
      </c>
      <c r="P43" s="1457">
        <v>0</v>
      </c>
      <c r="Q43" s="612"/>
      <c r="R43" s="708">
        <v>42551</v>
      </c>
      <c r="S43" s="708" t="s">
        <v>229</v>
      </c>
      <c r="T43" s="708"/>
      <c r="U43" s="233"/>
      <c r="V43" s="17"/>
      <c r="X43" s="779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2" t="s">
        <v>414</v>
      </c>
      <c r="B44" s="612" t="s">
        <v>415</v>
      </c>
      <c r="C44" s="612">
        <v>2783</v>
      </c>
      <c r="D44" s="612" t="s">
        <v>416</v>
      </c>
      <c r="E44" s="612" t="s">
        <v>417</v>
      </c>
      <c r="F44" s="612" t="s">
        <v>379</v>
      </c>
      <c r="G44" s="612" t="s">
        <v>418</v>
      </c>
      <c r="H44" s="708" t="s">
        <v>397</v>
      </c>
      <c r="I44" s="1731">
        <v>44772</v>
      </c>
      <c r="J44" s="612">
        <v>8.1942000000000001E-2</v>
      </c>
      <c r="K44" s="612" t="s">
        <v>167</v>
      </c>
      <c r="L44" s="612">
        <v>167</v>
      </c>
      <c r="M44" s="612"/>
      <c r="N44" s="612"/>
      <c r="O44" s="612">
        <v>2022</v>
      </c>
      <c r="P44" s="1457">
        <v>0</v>
      </c>
      <c r="Q44" s="612"/>
      <c r="R44" s="708">
        <v>42551</v>
      </c>
      <c r="S44" s="708" t="s">
        <v>229</v>
      </c>
      <c r="T44" s="708"/>
      <c r="U44" s="233"/>
      <c r="V44" s="17"/>
      <c r="X44" s="779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2" t="s">
        <v>294</v>
      </c>
      <c r="B45" s="612" t="s">
        <v>419</v>
      </c>
      <c r="C45" s="612">
        <v>4248</v>
      </c>
      <c r="D45" s="612" t="s">
        <v>420</v>
      </c>
      <c r="E45" s="612" t="s">
        <v>421</v>
      </c>
      <c r="F45" s="612" t="s">
        <v>422</v>
      </c>
      <c r="G45" s="612" t="s">
        <v>424</v>
      </c>
      <c r="H45" s="708" t="s">
        <v>287</v>
      </c>
      <c r="I45" s="1731">
        <v>44772</v>
      </c>
      <c r="J45" s="612">
        <v>8.1942000000000001E-2</v>
      </c>
      <c r="K45" s="612" t="s">
        <v>423</v>
      </c>
      <c r="L45" s="612">
        <v>132</v>
      </c>
      <c r="M45" s="612"/>
      <c r="N45" s="612"/>
      <c r="O45" s="612">
        <v>2024</v>
      </c>
      <c r="P45" s="1457">
        <v>0</v>
      </c>
      <c r="Q45" s="612"/>
      <c r="R45" s="708">
        <v>42551</v>
      </c>
      <c r="S45" s="708" t="s">
        <v>229</v>
      </c>
      <c r="T45" s="708"/>
      <c r="U45" s="233"/>
      <c r="V45" s="17"/>
      <c r="X45" s="779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2" t="s">
        <v>149</v>
      </c>
      <c r="B46" s="612" t="s">
        <v>425</v>
      </c>
      <c r="C46" s="612">
        <v>5274</v>
      </c>
      <c r="D46" s="612" t="s">
        <v>426</v>
      </c>
      <c r="E46" s="612" t="s">
        <v>427</v>
      </c>
      <c r="F46" s="612" t="s">
        <v>428</v>
      </c>
      <c r="G46" s="612" t="s">
        <v>430</v>
      </c>
      <c r="H46" s="708" t="s">
        <v>227</v>
      </c>
      <c r="I46" s="1731">
        <v>44680</v>
      </c>
      <c r="J46" s="612">
        <v>8.1942000000000001E-2</v>
      </c>
      <c r="K46" s="612" t="s">
        <v>135</v>
      </c>
      <c r="L46" s="612">
        <v>103</v>
      </c>
      <c r="M46" s="612"/>
      <c r="N46" s="612"/>
      <c r="O46" s="612">
        <v>2024</v>
      </c>
      <c r="P46" s="1457">
        <v>0</v>
      </c>
      <c r="Q46" s="612"/>
      <c r="R46" s="708">
        <v>42451</v>
      </c>
      <c r="S46" s="708" t="s">
        <v>229</v>
      </c>
      <c r="T46" s="708"/>
      <c r="U46" s="233"/>
      <c r="V46" s="17"/>
      <c r="X46" s="779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2" t="s">
        <v>309</v>
      </c>
      <c r="B47" s="612" t="s">
        <v>432</v>
      </c>
      <c r="C47" s="612">
        <v>5377</v>
      </c>
      <c r="D47" s="612" t="s">
        <v>433</v>
      </c>
      <c r="E47" s="612" t="s">
        <v>434</v>
      </c>
      <c r="F47" s="612" t="s">
        <v>435</v>
      </c>
      <c r="G47" s="612" t="s">
        <v>437</v>
      </c>
      <c r="H47" s="708" t="s">
        <v>438</v>
      </c>
      <c r="I47" s="1731">
        <v>44710</v>
      </c>
      <c r="J47" s="612">
        <v>8.1942000000000001E-2</v>
      </c>
      <c r="K47" s="612" t="s">
        <v>436</v>
      </c>
      <c r="L47" s="612">
        <v>155</v>
      </c>
      <c r="M47" s="612"/>
      <c r="N47" s="612"/>
      <c r="O47" s="612">
        <v>2024</v>
      </c>
      <c r="P47" s="1457">
        <v>0</v>
      </c>
      <c r="Q47" s="612"/>
      <c r="R47" s="708">
        <v>42489</v>
      </c>
      <c r="S47" s="708" t="s">
        <v>229</v>
      </c>
      <c r="T47" s="708"/>
      <c r="U47" s="233"/>
      <c r="V47" s="17"/>
      <c r="X47" s="779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2" t="s">
        <v>304</v>
      </c>
      <c r="B48" s="612" t="s">
        <v>439</v>
      </c>
      <c r="C48" s="612">
        <v>5279</v>
      </c>
      <c r="D48" s="612" t="s">
        <v>440</v>
      </c>
      <c r="E48" s="612" t="s">
        <v>441</v>
      </c>
      <c r="F48" s="612" t="s">
        <v>428</v>
      </c>
      <c r="G48" s="1458" t="s">
        <v>442</v>
      </c>
      <c r="H48" s="708" t="s">
        <v>443</v>
      </c>
      <c r="I48" s="1731">
        <v>44680</v>
      </c>
      <c r="J48" s="612">
        <v>8.1942000000000001E-2</v>
      </c>
      <c r="K48" s="612" t="s">
        <v>135</v>
      </c>
      <c r="L48" s="612">
        <v>103</v>
      </c>
      <c r="M48" s="612"/>
      <c r="N48" s="612"/>
      <c r="O48" s="612">
        <v>2022</v>
      </c>
      <c r="P48" s="708" t="s">
        <v>444</v>
      </c>
      <c r="Q48" s="612"/>
      <c r="R48" s="708"/>
      <c r="S48" s="708" t="s">
        <v>445</v>
      </c>
      <c r="T48" s="708">
        <v>43374</v>
      </c>
      <c r="U48" s="233"/>
      <c r="V48" s="17"/>
      <c r="X48" s="779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2" t="s">
        <v>161</v>
      </c>
      <c r="B49" s="612" t="s">
        <v>447</v>
      </c>
      <c r="C49" s="612">
        <v>6603</v>
      </c>
      <c r="D49" s="612" t="s">
        <v>448</v>
      </c>
      <c r="E49" s="612" t="s">
        <v>449</v>
      </c>
      <c r="F49" s="612" t="s">
        <v>428</v>
      </c>
      <c r="G49" s="1458" t="s">
        <v>450</v>
      </c>
      <c r="H49" s="708" t="s">
        <v>451</v>
      </c>
      <c r="I49" s="1731">
        <v>44680</v>
      </c>
      <c r="J49" s="612">
        <v>8.1942000000000001E-2</v>
      </c>
      <c r="K49" s="612" t="s">
        <v>135</v>
      </c>
      <c r="L49" s="612">
        <v>103</v>
      </c>
      <c r="M49" s="612"/>
      <c r="N49" s="612"/>
      <c r="O49" s="612">
        <v>2022</v>
      </c>
      <c r="P49" s="708" t="s">
        <v>444</v>
      </c>
      <c r="Q49" s="612"/>
      <c r="R49" s="708"/>
      <c r="S49" s="708" t="s">
        <v>445</v>
      </c>
      <c r="T49" s="708">
        <v>43405</v>
      </c>
      <c r="U49" s="233"/>
      <c r="V49" s="17"/>
      <c r="X49" s="779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2" t="s">
        <v>327</v>
      </c>
      <c r="B50" s="612" t="s">
        <v>452</v>
      </c>
      <c r="C50" s="612">
        <v>504</v>
      </c>
      <c r="D50" s="612" t="s">
        <v>453</v>
      </c>
      <c r="E50" s="612" t="s">
        <v>454</v>
      </c>
      <c r="F50" s="612" t="s">
        <v>379</v>
      </c>
      <c r="G50" s="1458" t="s">
        <v>455</v>
      </c>
      <c r="H50" s="708" t="s">
        <v>456</v>
      </c>
      <c r="I50" s="1731">
        <v>44772</v>
      </c>
      <c r="J50" s="612">
        <v>8.1942000000000001E-2</v>
      </c>
      <c r="K50" s="612" t="s">
        <v>167</v>
      </c>
      <c r="L50" s="612">
        <v>167</v>
      </c>
      <c r="M50" s="612"/>
      <c r="N50" s="612"/>
      <c r="O50" s="612">
        <v>2022</v>
      </c>
      <c r="P50" s="708" t="s">
        <v>444</v>
      </c>
      <c r="Q50" s="612"/>
      <c r="R50" s="708"/>
      <c r="S50" s="708" t="s">
        <v>445</v>
      </c>
      <c r="T50" s="708">
        <v>43405</v>
      </c>
      <c r="U50" s="233"/>
      <c r="V50" s="17"/>
      <c r="X50" s="779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2" t="s">
        <v>431</v>
      </c>
      <c r="B51" s="612" t="s">
        <v>458</v>
      </c>
      <c r="C51" s="612">
        <v>527</v>
      </c>
      <c r="D51" s="612" t="s">
        <v>459</v>
      </c>
      <c r="E51" s="612" t="s">
        <v>460</v>
      </c>
      <c r="F51" s="612" t="s">
        <v>379</v>
      </c>
      <c r="G51" s="1458" t="s">
        <v>461</v>
      </c>
      <c r="H51" s="708" t="s">
        <v>462</v>
      </c>
      <c r="I51" s="1731">
        <v>44772</v>
      </c>
      <c r="J51" s="612">
        <v>8.1942000000000001E-2</v>
      </c>
      <c r="K51" s="612" t="s">
        <v>167</v>
      </c>
      <c r="L51" s="612">
        <v>167</v>
      </c>
      <c r="M51" s="612"/>
      <c r="N51" s="612"/>
      <c r="O51" s="612">
        <v>2022</v>
      </c>
      <c r="P51" s="708" t="s">
        <v>444</v>
      </c>
      <c r="Q51" s="612"/>
      <c r="R51" s="708"/>
      <c r="S51" s="708" t="s">
        <v>445</v>
      </c>
      <c r="T51" s="708">
        <v>43405</v>
      </c>
      <c r="U51" s="233"/>
      <c r="V51" s="17"/>
      <c r="X51" s="779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2" t="s">
        <v>230</v>
      </c>
      <c r="B52" s="612" t="s">
        <v>463</v>
      </c>
      <c r="C52" s="612">
        <v>11825</v>
      </c>
      <c r="D52" s="612" t="s">
        <v>464</v>
      </c>
      <c r="E52" s="612" t="s">
        <v>465</v>
      </c>
      <c r="F52" s="612" t="s">
        <v>422</v>
      </c>
      <c r="G52" s="1458" t="s">
        <v>467</v>
      </c>
      <c r="H52" s="708" t="s">
        <v>468</v>
      </c>
      <c r="I52" s="1731">
        <v>44772</v>
      </c>
      <c r="J52" s="612">
        <v>8.1942000000000001E-2</v>
      </c>
      <c r="K52" s="612" t="s">
        <v>466</v>
      </c>
      <c r="L52" s="612">
        <v>132</v>
      </c>
      <c r="M52" s="612"/>
      <c r="N52" s="612"/>
      <c r="O52" s="612">
        <v>2022</v>
      </c>
      <c r="P52" s="708" t="s">
        <v>444</v>
      </c>
      <c r="Q52" s="612"/>
      <c r="R52" s="708"/>
      <c r="S52" s="708" t="s">
        <v>445</v>
      </c>
      <c r="T52" s="708">
        <v>43405</v>
      </c>
      <c r="U52" s="233"/>
      <c r="V52" s="17"/>
      <c r="X52" s="779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2" t="s">
        <v>446</v>
      </c>
      <c r="B53" s="612" t="s">
        <v>469</v>
      </c>
      <c r="C53" s="612">
        <v>5375</v>
      </c>
      <c r="D53" s="612" t="s">
        <v>470</v>
      </c>
      <c r="E53" s="612" t="s">
        <v>471</v>
      </c>
      <c r="F53" s="612" t="s">
        <v>224</v>
      </c>
      <c r="G53" s="1458" t="s">
        <v>474</v>
      </c>
      <c r="H53" s="708" t="s">
        <v>475</v>
      </c>
      <c r="I53" s="1731">
        <v>44834</v>
      </c>
      <c r="J53" s="612">
        <v>8.1942000000000001E-2</v>
      </c>
      <c r="K53" s="612" t="s">
        <v>472</v>
      </c>
      <c r="L53" s="612">
        <v>145</v>
      </c>
      <c r="M53" s="612" t="s">
        <v>473</v>
      </c>
      <c r="N53" s="612">
        <v>136</v>
      </c>
      <c r="O53" s="612">
        <v>2022</v>
      </c>
      <c r="P53" s="708" t="s">
        <v>444</v>
      </c>
      <c r="Q53" s="612"/>
      <c r="R53" s="708"/>
      <c r="S53" s="708" t="s">
        <v>445</v>
      </c>
      <c r="T53" s="708">
        <v>43466</v>
      </c>
      <c r="U53" s="233"/>
      <c r="V53" s="17"/>
      <c r="X53" s="779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2" t="s">
        <v>152</v>
      </c>
      <c r="B54" s="612" t="s">
        <v>476</v>
      </c>
      <c r="C54" s="612">
        <v>5356</v>
      </c>
      <c r="D54" s="612" t="s">
        <v>477</v>
      </c>
      <c r="E54" s="612" t="s">
        <v>478</v>
      </c>
      <c r="F54" s="612" t="s">
        <v>285</v>
      </c>
      <c r="G54" s="1458" t="s">
        <v>480</v>
      </c>
      <c r="H54" s="708" t="s">
        <v>481</v>
      </c>
      <c r="I54" s="1731">
        <v>44834</v>
      </c>
      <c r="J54" s="612">
        <v>8.1942000000000001E-2</v>
      </c>
      <c r="K54" s="612" t="s">
        <v>479</v>
      </c>
      <c r="L54" s="612">
        <v>111</v>
      </c>
      <c r="M54" s="612"/>
      <c r="N54" s="612"/>
      <c r="O54" s="612">
        <v>2022</v>
      </c>
      <c r="P54" s="708" t="s">
        <v>444</v>
      </c>
      <c r="Q54" s="612"/>
      <c r="R54" s="708"/>
      <c r="S54" s="708" t="s">
        <v>445</v>
      </c>
      <c r="T54" s="708">
        <v>43435</v>
      </c>
      <c r="U54" s="233"/>
      <c r="V54" s="17"/>
      <c r="X54" s="779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2" t="s">
        <v>409</v>
      </c>
      <c r="B55" s="612" t="s">
        <v>482</v>
      </c>
      <c r="C55" s="612">
        <v>7883</v>
      </c>
      <c r="D55" s="612" t="s">
        <v>483</v>
      </c>
      <c r="E55" s="612" t="s">
        <v>484</v>
      </c>
      <c r="F55" s="612" t="s">
        <v>285</v>
      </c>
      <c r="G55" s="1458" t="s">
        <v>485</v>
      </c>
      <c r="H55" s="708" t="s">
        <v>486</v>
      </c>
      <c r="I55" s="1731">
        <v>44834</v>
      </c>
      <c r="J55" s="612">
        <v>8.1942000000000001E-2</v>
      </c>
      <c r="K55" s="612" t="s">
        <v>479</v>
      </c>
      <c r="L55" s="612">
        <v>111</v>
      </c>
      <c r="M55" s="612"/>
      <c r="N55" s="612"/>
      <c r="O55" s="612">
        <v>2022</v>
      </c>
      <c r="P55" s="708" t="s">
        <v>444</v>
      </c>
      <c r="Q55" s="612"/>
      <c r="R55" s="708"/>
      <c r="S55" s="708" t="s">
        <v>445</v>
      </c>
      <c r="T55" s="708">
        <v>43435</v>
      </c>
      <c r="U55" s="233"/>
      <c r="V55" s="17"/>
      <c r="X55" s="779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2" t="s">
        <v>457</v>
      </c>
      <c r="B56" s="612" t="s">
        <v>487</v>
      </c>
      <c r="C56" s="612">
        <v>11763</v>
      </c>
      <c r="D56" s="612" t="s">
        <v>488</v>
      </c>
      <c r="E56" s="612" t="s">
        <v>489</v>
      </c>
      <c r="F56" s="612" t="s">
        <v>285</v>
      </c>
      <c r="G56" s="1458" t="s">
        <v>490</v>
      </c>
      <c r="H56" s="708" t="s">
        <v>491</v>
      </c>
      <c r="I56" s="1731">
        <v>44834</v>
      </c>
      <c r="J56" s="612">
        <v>8.1942000000000001E-2</v>
      </c>
      <c r="K56" s="612" t="s">
        <v>479</v>
      </c>
      <c r="L56" s="612">
        <v>111</v>
      </c>
      <c r="M56" s="612"/>
      <c r="N56" s="612"/>
      <c r="O56" s="612">
        <v>2022</v>
      </c>
      <c r="P56" s="708" t="s">
        <v>444</v>
      </c>
      <c r="Q56" s="612"/>
      <c r="R56" s="708"/>
      <c r="S56" s="708" t="s">
        <v>445</v>
      </c>
      <c r="T56" s="708">
        <v>43466</v>
      </c>
      <c r="U56" s="233"/>
      <c r="V56" s="17"/>
      <c r="X56" s="612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2" t="s">
        <v>492</v>
      </c>
      <c r="B57" s="612" t="s">
        <v>493</v>
      </c>
      <c r="C57" s="612">
        <v>5374</v>
      </c>
      <c r="D57" s="612" t="s">
        <v>494</v>
      </c>
      <c r="E57" s="612" t="s">
        <v>495</v>
      </c>
      <c r="F57" s="612" t="s">
        <v>285</v>
      </c>
      <c r="G57" s="1458" t="s">
        <v>496</v>
      </c>
      <c r="H57" s="708" t="s">
        <v>497</v>
      </c>
      <c r="I57" s="1731">
        <v>44834</v>
      </c>
      <c r="J57" s="612">
        <v>8.1942000000000001E-2</v>
      </c>
      <c r="K57" s="612" t="s">
        <v>479</v>
      </c>
      <c r="L57" s="612">
        <v>111</v>
      </c>
      <c r="M57" s="612"/>
      <c r="N57" s="612"/>
      <c r="O57" s="612">
        <v>2022</v>
      </c>
      <c r="P57" s="708" t="s">
        <v>444</v>
      </c>
      <c r="Q57" s="612"/>
      <c r="R57" s="708"/>
      <c r="S57" s="708" t="s">
        <v>445</v>
      </c>
      <c r="T57" s="708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2" t="s">
        <v>10</v>
      </c>
      <c r="B58" s="612" t="s">
        <v>499</v>
      </c>
      <c r="C58" s="612">
        <v>5346</v>
      </c>
      <c r="D58" s="612" t="s">
        <v>500</v>
      </c>
      <c r="E58" s="612" t="s">
        <v>501</v>
      </c>
      <c r="F58" s="612" t="s">
        <v>379</v>
      </c>
      <c r="G58" s="612" t="s">
        <v>502</v>
      </c>
      <c r="H58" s="708" t="s">
        <v>503</v>
      </c>
      <c r="I58" s="1731">
        <v>44917</v>
      </c>
      <c r="J58" s="612">
        <v>8.1942000000000001E-2</v>
      </c>
      <c r="K58" s="612" t="s">
        <v>291</v>
      </c>
      <c r="L58" s="612">
        <v>110</v>
      </c>
      <c r="M58" s="612"/>
      <c r="N58" s="612"/>
      <c r="O58" s="612">
        <v>2022</v>
      </c>
      <c r="P58" s="708"/>
      <c r="Q58" s="612"/>
      <c r="R58" s="708"/>
      <c r="S58" s="708" t="s">
        <v>445</v>
      </c>
      <c r="T58" s="708">
        <v>43525</v>
      </c>
      <c r="U58" s="233"/>
      <c r="V58" s="17"/>
      <c r="X58" s="779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2" t="s">
        <v>11</v>
      </c>
      <c r="B59" s="612" t="s">
        <v>504</v>
      </c>
      <c r="C59" s="612">
        <v>5345</v>
      </c>
      <c r="D59" s="612" t="s">
        <v>505</v>
      </c>
      <c r="E59" s="612" t="s">
        <v>506</v>
      </c>
      <c r="F59" s="612" t="s">
        <v>379</v>
      </c>
      <c r="G59" s="612" t="s">
        <v>507</v>
      </c>
      <c r="H59" s="708" t="s">
        <v>508</v>
      </c>
      <c r="I59" s="1731">
        <v>44917</v>
      </c>
      <c r="J59" s="612">
        <v>8.1942000000000001E-2</v>
      </c>
      <c r="K59" s="612" t="s">
        <v>291</v>
      </c>
      <c r="L59" s="612">
        <v>110</v>
      </c>
      <c r="M59" s="612"/>
      <c r="N59" s="612"/>
      <c r="O59" s="612">
        <v>2022</v>
      </c>
      <c r="P59" s="708"/>
      <c r="Q59" s="612"/>
      <c r="R59" s="708"/>
      <c r="S59" s="708" t="s">
        <v>445</v>
      </c>
      <c r="T59" s="708">
        <v>43525</v>
      </c>
      <c r="U59" s="233"/>
      <c r="V59" s="17"/>
      <c r="X59" s="779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2" t="s">
        <v>265</v>
      </c>
      <c r="B60" s="612" t="s">
        <v>509</v>
      </c>
      <c r="C60" s="612">
        <v>7467</v>
      </c>
      <c r="D60" s="612" t="s">
        <v>510</v>
      </c>
      <c r="E60" s="612" t="s">
        <v>511</v>
      </c>
      <c r="F60" s="612" t="s">
        <v>224</v>
      </c>
      <c r="G60" s="612" t="s">
        <v>512</v>
      </c>
      <c r="H60" s="708" t="s">
        <v>513</v>
      </c>
      <c r="I60" s="1731">
        <v>44710</v>
      </c>
      <c r="J60" s="612">
        <v>8.1942000000000001E-2</v>
      </c>
      <c r="K60" s="612" t="s">
        <v>125</v>
      </c>
      <c r="L60" s="612">
        <v>136</v>
      </c>
      <c r="M60" s="612" t="s">
        <v>136</v>
      </c>
      <c r="N60" s="612">
        <v>145</v>
      </c>
      <c r="O60" s="612">
        <v>2023</v>
      </c>
      <c r="P60" s="708"/>
      <c r="Q60" s="612"/>
      <c r="R60" s="708"/>
      <c r="S60" s="708" t="s">
        <v>445</v>
      </c>
      <c r="T60" s="708">
        <v>43614</v>
      </c>
      <c r="X60" s="779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5" t="s">
        <v>258</v>
      </c>
      <c r="B61" s="495" t="s">
        <v>514</v>
      </c>
      <c r="C61" s="495">
        <v>5343</v>
      </c>
      <c r="D61" s="612" t="s">
        <v>515</v>
      </c>
      <c r="E61" s="495" t="s">
        <v>516</v>
      </c>
      <c r="F61" s="495" t="s">
        <v>379</v>
      </c>
      <c r="G61" s="708">
        <v>43831</v>
      </c>
      <c r="H61" s="822" t="s">
        <v>518</v>
      </c>
      <c r="I61" s="1731">
        <v>44772</v>
      </c>
      <c r="J61" s="612">
        <v>8.1942000000000001E-2</v>
      </c>
      <c r="K61" s="495" t="s">
        <v>167</v>
      </c>
      <c r="L61" s="495">
        <v>167</v>
      </c>
      <c r="M61" s="495" t="s">
        <v>517</v>
      </c>
      <c r="N61" s="495">
        <v>164</v>
      </c>
      <c r="O61" s="495">
        <v>2022</v>
      </c>
      <c r="P61" s="495"/>
      <c r="Q61" s="822"/>
      <c r="R61" s="822"/>
      <c r="S61" s="708" t="s">
        <v>519</v>
      </c>
      <c r="T61" s="822">
        <v>44105</v>
      </c>
      <c r="X61" s="612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49"/>
    </row>
    <row r="64" spans="1:50">
      <c r="B64">
        <v>6896</v>
      </c>
    </row>
    <row r="66" spans="1:14" hidden="1">
      <c r="A66" s="624" t="s">
        <v>520</v>
      </c>
    </row>
    <row r="67" spans="1:14" hidden="1"/>
    <row r="68" spans="1:14" hidden="1">
      <c r="A68" s="496" t="s">
        <v>521</v>
      </c>
      <c r="B68" s="496" t="s">
        <v>27</v>
      </c>
      <c r="C68" s="496" t="s">
        <v>522</v>
      </c>
      <c r="D68" s="496" t="s">
        <v>523</v>
      </c>
      <c r="E68" s="496" t="s">
        <v>524</v>
      </c>
      <c r="F68" s="496" t="s">
        <v>525</v>
      </c>
      <c r="G68" s="496" t="s">
        <v>526</v>
      </c>
      <c r="H68" s="496" t="s">
        <v>527</v>
      </c>
      <c r="I68" s="496" t="s">
        <v>528</v>
      </c>
      <c r="J68" s="496" t="s">
        <v>529</v>
      </c>
      <c r="K68" s="502" t="s">
        <v>530</v>
      </c>
      <c r="L68" s="496" t="s">
        <v>531</v>
      </c>
      <c r="M68" s="502" t="s">
        <v>532</v>
      </c>
      <c r="N68" s="502" t="s">
        <v>2028</v>
      </c>
    </row>
    <row r="69" spans="1:14" hidden="1">
      <c r="A69" s="468" t="s">
        <v>220</v>
      </c>
      <c r="B69" s="612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7">
        <v>0.85740000000000005</v>
      </c>
      <c r="H69" s="497">
        <v>0.64305000000000001</v>
      </c>
      <c r="I69" s="497">
        <v>0.33069999999999999</v>
      </c>
      <c r="J69" s="499">
        <v>0.33069999999999999</v>
      </c>
      <c r="K69" s="651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7">
        <v>0.81920000000000004</v>
      </c>
      <c r="H70" s="497">
        <v>0.61440000000000006</v>
      </c>
      <c r="I70" s="497">
        <v>0.33069999999999999</v>
      </c>
      <c r="J70" s="499">
        <v>0.33069999999999999</v>
      </c>
      <c r="K70" s="651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7">
        <v>0.62490000000000001</v>
      </c>
      <c r="H71" s="497">
        <v>0.46867500000000001</v>
      </c>
      <c r="I71" s="497">
        <v>0.45379999999999998</v>
      </c>
      <c r="J71" s="499">
        <v>0.45379999999999998</v>
      </c>
      <c r="K71" s="651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7">
        <v>0.53426551936078681</v>
      </c>
      <c r="H72" s="497">
        <v>0.40069913952059011</v>
      </c>
      <c r="I72" s="497">
        <v>0.40069913952059011</v>
      </c>
      <c r="J72" s="499">
        <v>0.4007</v>
      </c>
      <c r="K72" s="651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1">
        <v>0</v>
      </c>
      <c r="H73" s="651">
        <v>0</v>
      </c>
      <c r="I73" s="651">
        <v>0</v>
      </c>
      <c r="J73" s="498">
        <v>0</v>
      </c>
      <c r="K73" s="651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7">
        <v>0.57969814099024475</v>
      </c>
      <c r="H74" s="497">
        <v>0.57969814099024475</v>
      </c>
      <c r="I74" s="497">
        <v>0.57969814099024475</v>
      </c>
      <c r="J74" s="497">
        <v>0.57969814099024475</v>
      </c>
      <c r="K74" s="651">
        <v>0.30859999999999999</v>
      </c>
      <c r="L74" s="823">
        <v>0</v>
      </c>
      <c r="M74" s="1444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7">
        <v>0.54564975934838955</v>
      </c>
      <c r="H75" s="497">
        <v>0.54564975934838955</v>
      </c>
      <c r="I75" s="497">
        <v>0.54564975934838955</v>
      </c>
      <c r="J75" s="497">
        <v>0.54564975934838955</v>
      </c>
      <c r="K75" s="651">
        <v>0.30859999999999999</v>
      </c>
      <c r="L75" s="823">
        <v>0.29099999999999998</v>
      </c>
      <c r="M75" s="1445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7">
        <v>0.89512907191149349</v>
      </c>
      <c r="H76" s="497">
        <v>0.67134680393362012</v>
      </c>
      <c r="I76" s="497">
        <v>0.67134680393362012</v>
      </c>
      <c r="J76" s="499">
        <v>0.65039999999999998</v>
      </c>
      <c r="K76" s="651">
        <v>0.57469999999999999</v>
      </c>
      <c r="L76" s="823">
        <v>0.56379999999999997</v>
      </c>
      <c r="M76" s="1445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7">
        <v>0.90610167159661548</v>
      </c>
      <c r="H77" s="497">
        <v>0.67957625369746166</v>
      </c>
      <c r="I77" s="497">
        <v>0.222</v>
      </c>
      <c r="J77" s="499">
        <v>0.1933</v>
      </c>
      <c r="K77" s="651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7">
        <v>0.73094654242275625</v>
      </c>
      <c r="H78" s="497">
        <v>0.54820990681706716</v>
      </c>
      <c r="I78" s="497">
        <v>0.40820000000000001</v>
      </c>
      <c r="J78" s="499">
        <v>0.40816629218792566</v>
      </c>
      <c r="K78" s="651">
        <v>0.38150000000000001</v>
      </c>
      <c r="L78" s="823">
        <v>0.2326</v>
      </c>
      <c r="M78" s="1445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7">
        <v>0.73094654242275625</v>
      </c>
      <c r="H79" s="497">
        <v>0.54820990681706716</v>
      </c>
      <c r="I79" s="497">
        <v>0.40820000000000001</v>
      </c>
      <c r="J79" s="499">
        <v>0.40816629218792566</v>
      </c>
      <c r="K79" s="651">
        <v>0.38150000000000001</v>
      </c>
      <c r="L79" s="823">
        <v>0.2326</v>
      </c>
      <c r="M79" s="1445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7">
        <v>0.47579901659496004</v>
      </c>
      <c r="H80" s="497">
        <v>0.35684926244622006</v>
      </c>
      <c r="I80" s="497">
        <v>0.35684926244622006</v>
      </c>
      <c r="J80" s="499">
        <v>0.34470000000000001</v>
      </c>
      <c r="K80" s="651">
        <v>0.1027</v>
      </c>
      <c r="L80" s="823">
        <v>9.9400000000000002E-2</v>
      </c>
      <c r="M80" s="1445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7">
        <v>0.47579901659496004</v>
      </c>
      <c r="H81" s="497">
        <v>0.35684926244622006</v>
      </c>
      <c r="I81" s="497">
        <v>0.35684926244622006</v>
      </c>
      <c r="J81" s="499">
        <v>0.34470000000000001</v>
      </c>
      <c r="K81" s="651">
        <v>0.1027</v>
      </c>
      <c r="L81" s="823">
        <v>9.9400000000000002E-2</v>
      </c>
      <c r="M81" s="1445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7">
        <v>0.71649852236828693</v>
      </c>
      <c r="H82" s="497">
        <v>0.5373738917762152</v>
      </c>
      <c r="I82" s="497">
        <v>0.35820000000000002</v>
      </c>
      <c r="J82" s="499">
        <v>0</v>
      </c>
      <c r="K82" s="651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7">
        <v>0.89474492931776273</v>
      </c>
      <c r="H83" s="497">
        <v>0.6710586969883221</v>
      </c>
      <c r="I83" s="497">
        <v>0.6710586969883221</v>
      </c>
      <c r="J83" s="499">
        <v>0.67110000000000003</v>
      </c>
      <c r="K83" s="651">
        <v>0.67110000000000003</v>
      </c>
      <c r="L83" s="823">
        <v>0.63749999999999996</v>
      </c>
      <c r="M83" s="1445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7">
        <v>0.87464280342908707</v>
      </c>
      <c r="H84" s="497">
        <v>0.65598210257181533</v>
      </c>
      <c r="I84" s="497">
        <v>0.43730000000000002</v>
      </c>
      <c r="J84" s="497">
        <v>0.43730000000000002</v>
      </c>
      <c r="K84" s="651">
        <v>0.43730000000000002</v>
      </c>
      <c r="L84" s="823">
        <f>DescontosTE[[#This Row],[2019]]</f>
        <v>0.43730000000000002</v>
      </c>
      <c r="M84" s="1446">
        <f>DescontosTE[[#This Row],[2020]]</f>
        <v>0.43730000000000002</v>
      </c>
      <c r="N84" s="1446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7">
        <v>0.72464658881376764</v>
      </c>
      <c r="H85" s="497">
        <v>0.54348494161032579</v>
      </c>
      <c r="I85" s="497">
        <v>0.54348494161032579</v>
      </c>
      <c r="J85" s="499">
        <v>0.54349999999999998</v>
      </c>
      <c r="K85" s="651">
        <v>0.33379999999999999</v>
      </c>
      <c r="L85" s="823">
        <v>0.25619999999999998</v>
      </c>
      <c r="M85" s="1445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7">
        <v>0.69825990373935576</v>
      </c>
      <c r="H86" s="497">
        <v>0.69825990373935576</v>
      </c>
      <c r="I86" s="497">
        <v>0.54749999999999999</v>
      </c>
      <c r="J86" s="499">
        <v>0.48209999999999997</v>
      </c>
      <c r="K86" s="651">
        <v>0.42549999999999999</v>
      </c>
      <c r="L86" s="823">
        <v>0.37969999999999998</v>
      </c>
      <c r="M86" s="1445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7">
        <v>0.7833435771358328</v>
      </c>
      <c r="H87" s="497">
        <v>0.5875076828518746</v>
      </c>
      <c r="I87" s="497">
        <v>0.5875076828518746</v>
      </c>
      <c r="J87" s="499">
        <v>0.58750000000000002</v>
      </c>
      <c r="K87" s="651">
        <v>0.56830000000000003</v>
      </c>
      <c r="L87" s="823">
        <v>0.55110000000000003</v>
      </c>
      <c r="M87" s="1445">
        <v>0.48010000000000003</v>
      </c>
    </row>
    <row r="88" spans="1:14" hidden="1">
      <c r="A88" s="468" t="s">
        <v>144</v>
      </c>
      <c r="B88" s="468" t="s">
        <v>167</v>
      </c>
      <c r="C88" s="590">
        <v>167</v>
      </c>
      <c r="D88" s="590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7">
        <v>0.82731282784930849</v>
      </c>
      <c r="H88" s="497">
        <v>0.82731282784930849</v>
      </c>
      <c r="I88" s="497">
        <v>0.82731282784930849</v>
      </c>
      <c r="J88" s="499">
        <v>0.2782</v>
      </c>
      <c r="K88" s="651">
        <v>0.2782</v>
      </c>
      <c r="L88" s="823">
        <v>0.2132</v>
      </c>
      <c r="M88" s="1445">
        <v>0.2132</v>
      </c>
    </row>
    <row r="89" spans="1:14" hidden="1">
      <c r="A89" s="468" t="s">
        <v>144</v>
      </c>
      <c r="B89" s="468" t="s">
        <v>167</v>
      </c>
      <c r="C89" s="590">
        <v>167</v>
      </c>
      <c r="D89" s="590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7">
        <v>0.73575345731998087</v>
      </c>
      <c r="H89" s="497">
        <v>0.73575345731998087</v>
      </c>
      <c r="I89" s="497">
        <v>0.73575345731998087</v>
      </c>
      <c r="J89" s="499">
        <v>0.2782</v>
      </c>
      <c r="K89" s="651">
        <v>0.2782</v>
      </c>
      <c r="L89" s="823">
        <v>0.2132</v>
      </c>
      <c r="M89" s="1445">
        <v>0.2132</v>
      </c>
    </row>
    <row r="90" spans="1:14" hidden="1">
      <c r="A90" s="468" t="s">
        <v>144</v>
      </c>
      <c r="B90" s="468" t="s">
        <v>167</v>
      </c>
      <c r="C90" s="590">
        <v>167</v>
      </c>
      <c r="D90" s="590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7">
        <v>0.73033677201026148</v>
      </c>
      <c r="H90" s="497">
        <v>0.73033677201026148</v>
      </c>
      <c r="I90" s="497">
        <v>0.73033677201026148</v>
      </c>
      <c r="J90" s="499">
        <v>0.2782</v>
      </c>
      <c r="K90" s="651">
        <v>0.2782</v>
      </c>
      <c r="L90" s="823">
        <v>0.2132</v>
      </c>
      <c r="M90" s="1445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7">
        <v>0.63275249814187795</v>
      </c>
      <c r="H91" s="497">
        <v>0.47456437360640846</v>
      </c>
      <c r="I91" s="497">
        <v>0.3463</v>
      </c>
      <c r="J91" s="499">
        <v>0.33600000000000002</v>
      </c>
      <c r="K91" s="774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7">
        <v>0.76371671876684266</v>
      </c>
      <c r="H92" s="497">
        <v>0.57278753907513202</v>
      </c>
      <c r="I92" s="497">
        <v>0.38190000000000002</v>
      </c>
      <c r="J92" s="499">
        <v>1.2E-2</v>
      </c>
      <c r="K92" s="778">
        <v>1.2E-2</v>
      </c>
      <c r="L92" s="823">
        <f>DescontosTE[[#This Row],[2019]]</f>
        <v>1.2E-2</v>
      </c>
      <c r="M92" s="499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7">
        <v>0.76627856834842611</v>
      </c>
      <c r="H93" s="497">
        <v>0.57470892626131964</v>
      </c>
      <c r="I93" s="497">
        <v>0.3831</v>
      </c>
      <c r="J93" s="499">
        <v>1.2E-2</v>
      </c>
      <c r="K93" s="778">
        <v>1.2E-2</v>
      </c>
      <c r="L93" s="823">
        <f>DescontosTE[[#This Row],[2019]]</f>
        <v>1.2E-2</v>
      </c>
      <c r="M93" s="499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7">
        <v>0.85982875805455028</v>
      </c>
      <c r="H94" s="497">
        <v>0.64487156854091277</v>
      </c>
      <c r="I94" s="497">
        <v>0.4299</v>
      </c>
      <c r="J94" s="499">
        <v>1.2E-2</v>
      </c>
      <c r="K94" s="778">
        <v>1.2E-2</v>
      </c>
      <c r="L94" s="823">
        <f>DescontosTE[[#This Row],[2019]]</f>
        <v>1.2E-2</v>
      </c>
      <c r="M94" s="499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7">
        <v>0.72071674463765556</v>
      </c>
      <c r="H95" s="497">
        <v>0.5405375584782417</v>
      </c>
      <c r="I95" s="497">
        <v>0.3604</v>
      </c>
      <c r="J95" s="499">
        <v>1.2E-2</v>
      </c>
      <c r="K95" s="778">
        <v>1.2E-2</v>
      </c>
      <c r="L95" s="823">
        <f>DescontosTE[[#This Row],[2019]]</f>
        <v>1.2E-2</v>
      </c>
      <c r="M95" s="499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7">
        <v>0.69352987907140973</v>
      </c>
      <c r="H96" s="497">
        <v>0.5201474093035573</v>
      </c>
      <c r="I96" s="497">
        <v>0.3468</v>
      </c>
      <c r="J96" s="499">
        <v>1.2E-2</v>
      </c>
      <c r="K96" s="778">
        <v>1.2E-2</v>
      </c>
      <c r="L96" s="823">
        <f>DescontosTE[[#This Row],[2019]]</f>
        <v>1.2E-2</v>
      </c>
      <c r="M96" s="499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7">
        <v>0.88419999999999999</v>
      </c>
      <c r="H97" s="497">
        <v>0.66315000000000002</v>
      </c>
      <c r="I97" s="497">
        <v>0.61850000000000005</v>
      </c>
      <c r="J97" s="499">
        <v>0.59560000000000002</v>
      </c>
      <c r="K97" s="651">
        <v>0.58150000000000002</v>
      </c>
      <c r="L97" s="823">
        <v>0.58150000000000002</v>
      </c>
      <c r="M97" s="1445">
        <v>0.58150000000000002</v>
      </c>
    </row>
    <row r="98" spans="1:13" hidden="1">
      <c r="A98" s="468" t="s">
        <v>541</v>
      </c>
      <c r="B98" s="612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7">
        <v>0.36708496982469596</v>
      </c>
      <c r="H98" s="497">
        <v>0.275313727368522</v>
      </c>
      <c r="I98" s="497">
        <v>0.275313727368522</v>
      </c>
      <c r="J98" s="499">
        <v>0.22059999999999999</v>
      </c>
      <c r="K98" s="651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0">
        <v>167</v>
      </c>
      <c r="D99" s="590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7">
        <v>0.5923752369117381</v>
      </c>
      <c r="H99" s="497">
        <v>0.5923752369117381</v>
      </c>
      <c r="I99" s="497">
        <v>0.44429999999999997</v>
      </c>
      <c r="J99" s="499">
        <v>0</v>
      </c>
      <c r="K99" s="651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0">
        <v>167</v>
      </c>
      <c r="D100" s="590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7">
        <v>0.5923752369117381</v>
      </c>
      <c r="H100" s="497">
        <v>0.5923752369117381</v>
      </c>
      <c r="I100" s="497">
        <v>0.44429999999999997</v>
      </c>
      <c r="J100" s="499">
        <v>0</v>
      </c>
      <c r="K100" s="651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0">
        <v>167</v>
      </c>
      <c r="D101" s="590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7">
        <v>8.6300000000000002E-2</v>
      </c>
      <c r="H101" s="497">
        <v>8.6300000000000002E-2</v>
      </c>
      <c r="I101" s="497">
        <v>6.4699999999999994E-2</v>
      </c>
      <c r="J101" s="499">
        <v>0</v>
      </c>
      <c r="K101" s="651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7">
        <v>0.71025546094039238</v>
      </c>
      <c r="H102" s="497">
        <v>0.71025546094039238</v>
      </c>
      <c r="I102" s="497">
        <v>0.71025546094039238</v>
      </c>
      <c r="J102" s="499">
        <v>0.67859999999999998</v>
      </c>
      <c r="K102" s="651">
        <v>0.61480000000000001</v>
      </c>
      <c r="L102" s="823">
        <v>0.55579999999999996</v>
      </c>
      <c r="M102" s="1445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7">
        <v>0.71025546094039238</v>
      </c>
      <c r="H103" s="497">
        <v>0.71025546094039238</v>
      </c>
      <c r="I103" s="497">
        <v>0.71025546094039238</v>
      </c>
      <c r="J103" s="499">
        <v>0.67859999999999998</v>
      </c>
      <c r="K103" s="651">
        <v>0.61480000000000001</v>
      </c>
      <c r="L103" s="823">
        <v>0.55579999999999996</v>
      </c>
      <c r="M103" s="1445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7">
        <v>0.90173092774063557</v>
      </c>
      <c r="H104" s="497">
        <v>0.67629819580547668</v>
      </c>
      <c r="I104" s="497">
        <v>0.45090000000000002</v>
      </c>
      <c r="J104" s="499">
        <v>0</v>
      </c>
      <c r="K104" s="651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7">
        <v>0.89981561155500922</v>
      </c>
      <c r="H105" s="497">
        <v>0.67486170866625694</v>
      </c>
      <c r="I105" s="497">
        <v>0.59530000000000005</v>
      </c>
      <c r="J105" s="499">
        <v>0.59530000000000005</v>
      </c>
      <c r="K105" s="651">
        <v>0.44540000000000002</v>
      </c>
      <c r="L105" s="823">
        <v>0.44540000000000002</v>
      </c>
      <c r="M105" s="1445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7">
        <v>0.90147665925690701</v>
      </c>
      <c r="H106" s="497">
        <v>0.67610749444268026</v>
      </c>
      <c r="I106" s="497">
        <v>0.45069999999999999</v>
      </c>
      <c r="J106" s="707">
        <v>0</v>
      </c>
      <c r="K106" s="651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7">
        <v>0.74668009891015652</v>
      </c>
      <c r="H107" s="497">
        <v>0.56001007418261739</v>
      </c>
      <c r="I107" s="497">
        <v>0.37330000000000002</v>
      </c>
      <c r="J107" s="707">
        <v>0.31390000000000001</v>
      </c>
      <c r="K107" s="651">
        <v>0.31390000000000001</v>
      </c>
      <c r="L107" s="823">
        <v>7.5600000000000001E-2</v>
      </c>
      <c r="M107" s="1445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7">
        <v>0.7457129247380121</v>
      </c>
      <c r="H108" s="497">
        <v>0.55928469355350907</v>
      </c>
      <c r="I108" s="497">
        <v>0.37290000000000001</v>
      </c>
      <c r="J108" s="707">
        <v>0.31390000000000001</v>
      </c>
      <c r="K108" s="651">
        <v>0.31390000000000001</v>
      </c>
      <c r="L108" s="823">
        <v>7.5600000000000001E-2</v>
      </c>
      <c r="M108" s="1445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7">
        <v>0.6419022741241549</v>
      </c>
      <c r="H109" s="497">
        <v>0.48142670559311618</v>
      </c>
      <c r="I109" s="497">
        <v>0.48139999999999999</v>
      </c>
      <c r="J109" s="499">
        <v>0.48139999999999999</v>
      </c>
      <c r="K109" s="651">
        <v>0.48139999999999999</v>
      </c>
      <c r="L109" s="823">
        <v>0.48139999999999999</v>
      </c>
      <c r="M109" s="1445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7">
        <v>0.83597111247695144</v>
      </c>
      <c r="H110" s="497">
        <v>0.62697833435771355</v>
      </c>
      <c r="I110" s="497">
        <v>0.59899999999999998</v>
      </c>
      <c r="J110" s="499">
        <v>0.59009999999999996</v>
      </c>
      <c r="K110" s="651">
        <v>0.59009999999999996</v>
      </c>
      <c r="L110" s="823">
        <v>0.55869999999999997</v>
      </c>
      <c r="M110" s="1445">
        <v>0.55869999999999997</v>
      </c>
    </row>
    <row r="111" spans="1:13" hidden="1">
      <c r="A111" s="468" t="s">
        <v>387</v>
      </c>
      <c r="B111" s="468" t="s">
        <v>167</v>
      </c>
      <c r="C111" s="590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7">
        <v>0.8415330252786084</v>
      </c>
      <c r="H111" s="497">
        <v>0.63114976895895625</v>
      </c>
      <c r="I111" s="497">
        <v>0.42080000000000001</v>
      </c>
      <c r="J111" s="499">
        <v>0.21149999999999999</v>
      </c>
      <c r="K111" s="651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0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7">
        <v>0.8415330252786084</v>
      </c>
      <c r="H112" s="497">
        <v>0.63114976895895625</v>
      </c>
      <c r="I112" s="497">
        <v>0.42080000000000001</v>
      </c>
      <c r="J112" s="499">
        <v>0.21149999999999999</v>
      </c>
      <c r="K112" s="651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7">
        <v>0.8239405071230177</v>
      </c>
      <c r="H113" s="497">
        <v>0.61795538034226327</v>
      </c>
      <c r="I113" s="497">
        <v>0.41199999999999998</v>
      </c>
      <c r="J113" s="499">
        <v>0.21149999999999999</v>
      </c>
      <c r="K113" s="651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0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7">
        <v>0.60488390712570062</v>
      </c>
      <c r="H114" s="497">
        <v>0.60488390712570062</v>
      </c>
      <c r="I114" s="497">
        <v>0.60488390712570062</v>
      </c>
      <c r="J114" s="499">
        <v>0.58309999999999995</v>
      </c>
      <c r="K114" s="651">
        <v>0.48330000000000001</v>
      </c>
      <c r="L114" s="823">
        <v>0.35730000000000001</v>
      </c>
      <c r="M114" s="1445">
        <v>0.32969999999999999</v>
      </c>
    </row>
    <row r="115" spans="1:13" hidden="1">
      <c r="A115" s="468" t="s">
        <v>165</v>
      </c>
      <c r="B115" s="468" t="s">
        <v>167</v>
      </c>
      <c r="C115" s="590">
        <v>167</v>
      </c>
      <c r="D115" s="590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7">
        <v>0.54613733905579398</v>
      </c>
      <c r="H115" s="497">
        <v>0.54613733905579398</v>
      </c>
      <c r="I115" s="497">
        <v>0.54613733905579398</v>
      </c>
      <c r="J115" s="499">
        <v>0.54610000000000003</v>
      </c>
      <c r="K115" s="651">
        <v>0.48330000000000001</v>
      </c>
      <c r="L115" s="823">
        <v>0.35730000000000001</v>
      </c>
      <c r="M115" s="1445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7">
        <v>0.88707885968159939</v>
      </c>
      <c r="H116" s="497">
        <v>0.88707885968159939</v>
      </c>
      <c r="I116" s="497">
        <v>0.88707885968159939</v>
      </c>
      <c r="J116" s="499">
        <v>0.81359999999999999</v>
      </c>
      <c r="K116" s="651">
        <v>0.81359999999999999</v>
      </c>
      <c r="L116" s="823">
        <v>0.81359999999999999</v>
      </c>
      <c r="M116" s="1445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7">
        <v>0.50648278140226277</v>
      </c>
      <c r="H117" s="497">
        <v>0.37986208605169708</v>
      </c>
      <c r="I117" s="497">
        <v>0.1396</v>
      </c>
      <c r="J117" s="499">
        <v>0.1396</v>
      </c>
      <c r="K117" s="651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7">
        <v>0.66580422595946531</v>
      </c>
      <c r="H118" s="497">
        <v>0.49935316946959896</v>
      </c>
      <c r="I118" s="497">
        <v>0.1396</v>
      </c>
      <c r="J118" s="499">
        <v>0.1396</v>
      </c>
      <c r="K118" s="651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7">
        <v>0.78664720344191763</v>
      </c>
      <c r="H119" s="497">
        <v>0.58998540258143817</v>
      </c>
      <c r="I119" s="497">
        <v>0.58998540258143817</v>
      </c>
      <c r="J119" s="499">
        <v>0.59</v>
      </c>
      <c r="K119" s="651">
        <v>0.59</v>
      </c>
      <c r="L119" s="823">
        <v>0.59</v>
      </c>
      <c r="M119" s="1445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7">
        <v>0.43784572833435764</v>
      </c>
      <c r="H120" s="497">
        <v>0.43784572833435764</v>
      </c>
      <c r="I120" s="497">
        <v>0.43780000000000002</v>
      </c>
      <c r="J120" s="499">
        <v>0.43780000000000002</v>
      </c>
      <c r="K120" s="651">
        <v>0.43780000000000002</v>
      </c>
      <c r="L120" s="823">
        <v>0.42730000000000001</v>
      </c>
      <c r="M120" s="1445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7">
        <v>0.74423786109403811</v>
      </c>
      <c r="H121" s="497">
        <v>0.74423786109403811</v>
      </c>
      <c r="I121" s="497">
        <v>0.66139999999999999</v>
      </c>
      <c r="J121" s="499">
        <v>0.6452</v>
      </c>
      <c r="K121" s="651">
        <v>0.4995</v>
      </c>
      <c r="L121" s="823">
        <v>0.42730000000000001</v>
      </c>
      <c r="M121" s="1445">
        <v>0.42730000000000001</v>
      </c>
    </row>
    <row r="122" spans="1:13" hidden="1">
      <c r="A122" s="468" t="s">
        <v>358</v>
      </c>
      <c r="B122" s="495" t="s">
        <v>362</v>
      </c>
      <c r="C122" s="495">
        <v>144</v>
      </c>
      <c r="D122" s="495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7">
        <v>0.75887474882786332</v>
      </c>
      <c r="H122" s="497">
        <v>0.75887474882786332</v>
      </c>
      <c r="I122" s="497">
        <v>0.66139999999999999</v>
      </c>
      <c r="J122" s="499">
        <v>0.6452</v>
      </c>
      <c r="K122" s="651">
        <v>0.4995</v>
      </c>
      <c r="L122" s="823">
        <v>0.42730000000000001</v>
      </c>
      <c r="M122" s="1445">
        <v>0.42730000000000001</v>
      </c>
    </row>
    <row r="123" spans="1:13" hidden="1">
      <c r="A123" s="468" t="s">
        <v>398</v>
      </c>
      <c r="B123" s="468" t="s">
        <v>167</v>
      </c>
      <c r="C123" s="590">
        <v>167</v>
      </c>
      <c r="D123" s="590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7">
        <v>0.81789999999999996</v>
      </c>
      <c r="H123" s="497">
        <v>0.81789999999999996</v>
      </c>
      <c r="I123" s="497">
        <v>0.65900000000000003</v>
      </c>
      <c r="J123" s="499">
        <v>0</v>
      </c>
      <c r="K123" s="651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0">
        <v>167</v>
      </c>
      <c r="D124" s="590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7">
        <v>0.81789999999999996</v>
      </c>
      <c r="H124" s="497">
        <v>0.81789999999999996</v>
      </c>
      <c r="I124" s="497">
        <v>0.65900000000000003</v>
      </c>
      <c r="J124" s="499">
        <v>0</v>
      </c>
      <c r="K124" s="651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7">
        <v>0.53672403196066387</v>
      </c>
      <c r="H125" s="497">
        <v>0.4025430239704979</v>
      </c>
      <c r="I125" s="497">
        <v>0.38200000000000001</v>
      </c>
      <c r="J125" s="499">
        <v>0.35849999999999999</v>
      </c>
      <c r="K125" s="651">
        <v>4.9599999999999998E-2</v>
      </c>
      <c r="L125" s="823">
        <v>3.3399999999999999E-2</v>
      </c>
      <c r="M125" s="1445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7">
        <v>0.88667793484941604</v>
      </c>
      <c r="H126" s="497">
        <v>0.66500845113706197</v>
      </c>
      <c r="I126" s="497">
        <v>0.36559999999999998</v>
      </c>
      <c r="J126" s="499">
        <v>0.29060000000000002</v>
      </c>
      <c r="K126" s="651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0">
        <v>167</v>
      </c>
      <c r="D127" s="590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7">
        <v>0.63819999999999999</v>
      </c>
      <c r="H127" s="497">
        <v>0.63819999999999999</v>
      </c>
      <c r="I127" s="497">
        <v>0.44450000000000001</v>
      </c>
      <c r="J127" s="499">
        <v>0</v>
      </c>
      <c r="K127" s="651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0">
        <v>167</v>
      </c>
      <c r="D128" s="590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7">
        <v>0.63819999999999999</v>
      </c>
      <c r="H128" s="497">
        <v>0.63819999999999999</v>
      </c>
      <c r="I128" s="497">
        <v>0.47870000000000001</v>
      </c>
      <c r="J128" s="499">
        <v>0</v>
      </c>
      <c r="K128" s="651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0">
        <v>167</v>
      </c>
      <c r="D129" s="590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7">
        <v>0.53600000000000003</v>
      </c>
      <c r="H129" s="497">
        <v>0.53600000000000003</v>
      </c>
      <c r="I129" s="497">
        <v>0.40200000000000002</v>
      </c>
      <c r="J129" s="499">
        <v>0</v>
      </c>
      <c r="K129" s="651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0">
        <v>167</v>
      </c>
      <c r="D130" s="590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7">
        <v>0.83053171196948017</v>
      </c>
      <c r="H130" s="497">
        <v>0.83053171196948017</v>
      </c>
      <c r="I130" s="497">
        <v>0.83053171196948017</v>
      </c>
      <c r="J130" s="499">
        <v>0.34849999999999998</v>
      </c>
      <c r="K130" s="651">
        <v>0.34849999999999998</v>
      </c>
      <c r="L130" s="823">
        <v>0.28499999999999998</v>
      </c>
      <c r="M130" s="1445">
        <v>0.28499999999999998</v>
      </c>
    </row>
    <row r="131" spans="1:14" hidden="1">
      <c r="A131" s="468" t="s">
        <v>414</v>
      </c>
      <c r="B131" s="468" t="s">
        <v>167</v>
      </c>
      <c r="C131" s="590">
        <v>167</v>
      </c>
      <c r="D131" s="590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7">
        <v>0.76871721506914636</v>
      </c>
      <c r="H131" s="497">
        <v>0.76871721506914636</v>
      </c>
      <c r="I131" s="497">
        <v>0.76871721506914636</v>
      </c>
      <c r="J131" s="499">
        <v>0.46889999999999998</v>
      </c>
      <c r="K131" s="651">
        <v>0.46889999999999998</v>
      </c>
      <c r="L131" s="823">
        <v>0.214</v>
      </c>
      <c r="M131" s="1445">
        <v>0.214</v>
      </c>
    </row>
    <row r="132" spans="1:14" hidden="1">
      <c r="A132" s="468" t="s">
        <v>414</v>
      </c>
      <c r="B132" s="468" t="s">
        <v>167</v>
      </c>
      <c r="C132" s="590">
        <v>167</v>
      </c>
      <c r="D132" s="590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7">
        <v>2.0743919885550688E-2</v>
      </c>
      <c r="H132" s="497">
        <v>2.0743919885550688E-2</v>
      </c>
      <c r="I132" s="497">
        <v>2.0743919885550688E-2</v>
      </c>
      <c r="J132" s="499">
        <v>2.07E-2</v>
      </c>
      <c r="K132" s="651">
        <v>2.07E-2</v>
      </c>
      <c r="L132" s="823">
        <v>2.07E-2</v>
      </c>
      <c r="M132" s="1445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7"/>
      <c r="H133" s="497"/>
      <c r="I133" s="497"/>
      <c r="J133" s="499">
        <v>0.38529999999999998</v>
      </c>
      <c r="K133" s="778">
        <v>0.38529999999999998</v>
      </c>
      <c r="L133" s="823">
        <f>DescontosTE[[#This Row],[2019]]</f>
        <v>0.38529999999999998</v>
      </c>
      <c r="M133" s="499">
        <f>DescontosTE[[#This Row],[2020]]</f>
        <v>0.38529999999999998</v>
      </c>
      <c r="N133" s="499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7"/>
      <c r="H134" s="497"/>
      <c r="I134" s="497"/>
      <c r="J134" s="499">
        <v>0.38529999999999998</v>
      </c>
      <c r="K134" s="778">
        <v>0.38030000000000003</v>
      </c>
      <c r="L134" s="823">
        <f>DescontosTE[[#This Row],[2019]]</f>
        <v>0.38030000000000003</v>
      </c>
      <c r="M134" s="497">
        <v>0.26430999999999999</v>
      </c>
      <c r="N134" s="497">
        <v>0.26430999999999999</v>
      </c>
    </row>
    <row r="135" spans="1:14" hidden="1">
      <c r="A135" s="468" t="s">
        <v>327</v>
      </c>
      <c r="B135" s="468" t="s">
        <v>167</v>
      </c>
      <c r="C135" s="590">
        <v>167</v>
      </c>
      <c r="D135" s="590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7"/>
      <c r="H135" s="497"/>
      <c r="I135" s="497"/>
      <c r="J135" s="499">
        <v>0.1401</v>
      </c>
      <c r="K135" s="778">
        <v>0.1401</v>
      </c>
      <c r="L135" s="823">
        <v>0.1401</v>
      </c>
      <c r="M135" s="1445">
        <v>0.1401</v>
      </c>
    </row>
    <row r="136" spans="1:14" hidden="1">
      <c r="A136" s="468" t="s">
        <v>431</v>
      </c>
      <c r="B136" s="468" t="s">
        <v>167</v>
      </c>
      <c r="C136" s="590">
        <v>167</v>
      </c>
      <c r="D136" s="590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7"/>
      <c r="H136" s="497"/>
      <c r="I136" s="497"/>
      <c r="J136" s="499">
        <v>0.25359999999999999</v>
      </c>
      <c r="K136" s="778">
        <v>0.22370000000000001</v>
      </c>
      <c r="L136" s="823">
        <v>0.1273</v>
      </c>
      <c r="M136" s="1445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7"/>
      <c r="H137" s="497"/>
      <c r="I137" s="497"/>
      <c r="J137" s="499">
        <v>0.42030000000000001</v>
      </c>
      <c r="K137" s="778">
        <v>0.42030000000000001</v>
      </c>
      <c r="L137" s="823">
        <v>0.33839999999999998</v>
      </c>
      <c r="M137" s="1445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7"/>
      <c r="H138" s="497"/>
      <c r="I138" s="497"/>
      <c r="J138" s="499">
        <v>0.4153</v>
      </c>
      <c r="K138" s="778">
        <v>0.4153</v>
      </c>
      <c r="L138" s="823">
        <v>0.33839999999999998</v>
      </c>
      <c r="M138" s="1445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7"/>
      <c r="H139" s="497"/>
      <c r="I139" s="497"/>
      <c r="J139" s="499">
        <v>0.40989999999999999</v>
      </c>
      <c r="K139" s="778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7"/>
      <c r="H140" s="497"/>
      <c r="I140" s="497"/>
      <c r="J140" s="499">
        <v>0.4103</v>
      </c>
      <c r="K140" s="778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7"/>
      <c r="H141" s="497"/>
      <c r="I141" s="497"/>
      <c r="J141" s="499">
        <v>0.44009999999999999</v>
      </c>
      <c r="K141" s="778">
        <v>0.3735</v>
      </c>
      <c r="L141" s="823">
        <v>0.29289999999999999</v>
      </c>
      <c r="M141" s="1445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7"/>
      <c r="H142" s="497"/>
      <c r="I142" s="497"/>
      <c r="J142" s="499">
        <v>0.41320000000000001</v>
      </c>
      <c r="K142" s="778">
        <v>0.34079999999999999</v>
      </c>
      <c r="L142" s="823">
        <v>0.25679999999999997</v>
      </c>
      <c r="M142" s="1445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7"/>
      <c r="H143" s="497"/>
      <c r="I143" s="497"/>
      <c r="J143" s="499">
        <v>0.44009999999999999</v>
      </c>
      <c r="K143" s="778">
        <v>0.28170000000000001</v>
      </c>
      <c r="L143" s="823">
        <v>0.25019999999999998</v>
      </c>
      <c r="M143" s="1445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7"/>
      <c r="H144" s="497"/>
      <c r="I144" s="497"/>
      <c r="J144" s="499">
        <v>0.41320000000000001</v>
      </c>
      <c r="K144" s="778">
        <v>0.16650000000000001</v>
      </c>
      <c r="L144" s="823">
        <v>0.1057</v>
      </c>
      <c r="M144" s="1445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7"/>
      <c r="H145" s="497"/>
      <c r="I145" s="497"/>
      <c r="J145" s="499">
        <v>0.33779999999999999</v>
      </c>
      <c r="K145" s="778">
        <v>0.33779999999999999</v>
      </c>
      <c r="L145" s="823">
        <v>0.20419999999999999</v>
      </c>
      <c r="M145" s="1445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7"/>
      <c r="H146" s="497"/>
      <c r="I146" s="497"/>
      <c r="J146" s="499">
        <v>0.49409999999999998</v>
      </c>
      <c r="K146" s="778">
        <v>0.48630000000000001</v>
      </c>
      <c r="L146" s="823">
        <v>0.37609999999999999</v>
      </c>
      <c r="M146" s="1445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7"/>
      <c r="H147" s="497"/>
      <c r="I147" s="497"/>
      <c r="J147" s="499"/>
      <c r="K147" s="778">
        <v>0.18690000000000001</v>
      </c>
      <c r="L147" s="823">
        <v>0.1603</v>
      </c>
      <c r="M147" s="497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7"/>
      <c r="H148" s="497"/>
      <c r="I148" s="497"/>
      <c r="J148" s="499"/>
      <c r="K148" s="778">
        <v>0.18690000000000001</v>
      </c>
      <c r="L148" s="823">
        <v>0.1603</v>
      </c>
      <c r="M148" s="497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499"/>
      <c r="K149" s="778"/>
      <c r="L149" s="823">
        <v>0.1426</v>
      </c>
      <c r="M149" s="1445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499">
        <v>0.1426</v>
      </c>
      <c r="M150" s="1445">
        <v>0.1426</v>
      </c>
      <c r="AS150" s="817"/>
      <c r="AX150" s="817"/>
    </row>
    <row r="154" spans="1:50">
      <c r="A154" s="624" t="s">
        <v>546</v>
      </c>
    </row>
    <row r="156" spans="1:50">
      <c r="A156" s="9" t="s">
        <v>22</v>
      </c>
      <c r="B156" s="625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6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7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7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7">
        <v>750.67</v>
      </c>
      <c r="L158">
        <v>694.52</v>
      </c>
      <c r="M158" s="408">
        <v>683.87</v>
      </c>
    </row>
    <row r="159" spans="1:50">
      <c r="A159" s="9" t="s">
        <v>521</v>
      </c>
      <c r="B159" s="626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7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7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7">
        <v>521.09</v>
      </c>
      <c r="L160">
        <v>586.86</v>
      </c>
      <c r="M160">
        <v>663.81999999999994</v>
      </c>
    </row>
    <row r="161" spans="1:13">
      <c r="A161" s="9" t="s">
        <v>521</v>
      </c>
      <c r="B161" s="626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7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7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7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6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7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7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7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6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7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7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7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6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7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7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7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6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7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7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7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6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7">
        <v>544.1</v>
      </c>
      <c r="L171">
        <v>589.07999999999993</v>
      </c>
      <c r="M171" s="629">
        <v>561.9</v>
      </c>
    </row>
    <row r="172" spans="1:13">
      <c r="A172" s="9" t="s">
        <v>521</v>
      </c>
      <c r="B172" s="627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7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6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7">
        <v>655.47</v>
      </c>
      <c r="L173">
        <v>654.13</v>
      </c>
      <c r="M173" s="408">
        <v>721.68</v>
      </c>
    </row>
    <row r="174" spans="1:13">
      <c r="A174" s="9" t="s">
        <v>521</v>
      </c>
      <c r="B174" s="627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7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6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7">
        <v>559.04</v>
      </c>
      <c r="L175">
        <v>605.22</v>
      </c>
      <c r="M175" s="408">
        <v>641.27</v>
      </c>
    </row>
    <row r="176" spans="1:13">
      <c r="A176" s="9" t="s">
        <v>521</v>
      </c>
      <c r="B176" s="627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7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6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7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7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7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6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7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7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7">
        <v>387.09</v>
      </c>
      <c r="L180">
        <v>395.17</v>
      </c>
      <c r="M180" s="408">
        <v>403.03</v>
      </c>
    </row>
    <row r="181" spans="1:13">
      <c r="A181" s="9" t="s">
        <v>521</v>
      </c>
      <c r="B181" s="626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7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7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7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6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7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7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7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6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7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7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7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6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7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7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7">
        <v>503.84</v>
      </c>
      <c r="L188">
        <v>506.04</v>
      </c>
      <c r="M188" s="408">
        <v>514.01</v>
      </c>
    </row>
    <row r="189" spans="1:13">
      <c r="A189" s="9" t="s">
        <v>521</v>
      </c>
      <c r="B189" s="626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7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7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7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6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7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7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7">
        <v>469.96</v>
      </c>
      <c r="L192">
        <v>496.82</v>
      </c>
      <c r="M192" s="408">
        <v>587.54</v>
      </c>
    </row>
    <row r="193" spans="1:16">
      <c r="A193" s="9" t="s">
        <v>521</v>
      </c>
      <c r="B193" s="626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7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8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7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5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7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5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7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5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7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5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7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5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7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5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7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5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7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5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7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5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7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5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7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5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7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5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7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3" t="s">
        <v>265</v>
      </c>
      <c r="C207" s="232"/>
      <c r="D207" s="232"/>
      <c r="E207" s="232"/>
      <c r="F207" s="232"/>
      <c r="G207" s="232"/>
      <c r="H207" s="232"/>
      <c r="K207" s="777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3" t="s">
        <v>258</v>
      </c>
      <c r="C208" s="232"/>
      <c r="D208" s="232"/>
      <c r="E208" s="232"/>
      <c r="F208" s="232"/>
      <c r="G208" s="232"/>
      <c r="H208" s="232"/>
      <c r="K208" s="777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7">
        <f>397.32+270.9</f>
        <v>668.22</v>
      </c>
      <c r="L209">
        <v>683.67</v>
      </c>
      <c r="M209" s="506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7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7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7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7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7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29">
        <v>487.3</v>
      </c>
      <c r="J216">
        <f>241.74+319.79</f>
        <v>561.53</v>
      </c>
      <c r="K216" s="777">
        <v>525.73</v>
      </c>
      <c r="L216" s="629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7">
        <v>531.87</v>
      </c>
      <c r="L217" s="629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7">
        <v>515.59</v>
      </c>
      <c r="L218" s="629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7">
        <v>530.72</v>
      </c>
      <c r="L219" s="629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7">
        <v>560.27</v>
      </c>
      <c r="L220" s="629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7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7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>
      <selection activeCell="C18" sqref="C18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2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2158</v>
      </c>
      <c r="C1" s="962"/>
      <c r="D1" s="962"/>
      <c r="M1" s="533"/>
      <c r="BA1" s="472"/>
      <c r="BB1" s="472"/>
      <c r="BC1" s="472"/>
      <c r="BD1" s="472"/>
    </row>
    <row r="2" spans="1:84" ht="25.5">
      <c r="B2" s="534" t="str">
        <f>CAPA!C9</f>
        <v>Ceraçá</v>
      </c>
      <c r="C2" s="620"/>
      <c r="D2" s="535"/>
      <c r="E2" s="575" t="s">
        <v>581</v>
      </c>
      <c r="F2" s="575"/>
      <c r="G2" s="575"/>
      <c r="H2" s="598" t="s">
        <v>2356</v>
      </c>
      <c r="M2" s="533"/>
      <c r="AK2" s="473"/>
      <c r="AZ2" s="1776" t="s">
        <v>582</v>
      </c>
      <c r="BA2" s="1777"/>
      <c r="BB2" s="1777"/>
      <c r="BC2" s="1777"/>
      <c r="BD2" s="1777"/>
      <c r="BE2" s="1777"/>
      <c r="BF2" s="1777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3"/>
    </row>
    <row r="3" spans="1:84">
      <c r="C3" s="547"/>
      <c r="E3" s="570" t="s">
        <v>2026</v>
      </c>
      <c r="F3" s="570"/>
      <c r="G3" s="570"/>
      <c r="H3" s="523"/>
      <c r="M3" s="533"/>
      <c r="O3" s="376">
        <f>VALUE(RIGHT(P3,2))</f>
        <v>18</v>
      </c>
      <c r="P3" s="963" t="str">
        <f>VLOOKUP($C$9,Informacoes[],4,FALSE)</f>
        <v>C18</v>
      </c>
      <c r="Q3" s="963" t="str">
        <f>VLOOKUP($C$9,Informacoes[],2,FALSE)</f>
        <v>Cooperativa Distribuidora de Energia Vale do Araçá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3"/>
    </row>
    <row r="4" spans="1:84">
      <c r="E4" s="742" t="s">
        <v>2027</v>
      </c>
      <c r="F4" s="742"/>
      <c r="G4" s="742"/>
      <c r="H4" s="767"/>
      <c r="I4" s="536"/>
      <c r="M4" s="533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2" t="s">
        <v>583</v>
      </c>
      <c r="F5" s="742"/>
      <c r="G5" s="742"/>
      <c r="H5" s="752" t="s">
        <v>2357</v>
      </c>
      <c r="I5" s="536"/>
      <c r="M5" s="533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7"/>
      <c r="I6" s="536"/>
      <c r="N6" s="538"/>
      <c r="O6" s="9"/>
      <c r="P6" s="9" t="s">
        <v>2160</v>
      </c>
      <c r="Q6" s="524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39"/>
      <c r="B7" s="529" t="s">
        <v>584</v>
      </c>
      <c r="C7" s="540"/>
      <c r="D7" s="540"/>
      <c r="E7" s="541"/>
      <c r="F7" s="541"/>
      <c r="G7" s="541"/>
      <c r="H7" s="521"/>
      <c r="I7" s="522"/>
      <c r="J7" s="541"/>
      <c r="K7" s="542"/>
      <c r="L7" s="543"/>
      <c r="M7" s="544"/>
      <c r="N7" s="545"/>
      <c r="O7" s="9"/>
      <c r="P7" s="270">
        <v>238</v>
      </c>
      <c r="Q7" s="750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8"/>
      <c r="O8" s="9"/>
      <c r="P8" s="270"/>
      <c r="Q8" s="750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4" t="s">
        <v>106</v>
      </c>
      <c r="C9" s="969" t="s">
        <v>276</v>
      </c>
      <c r="D9" s="9"/>
      <c r="E9" s="1778" t="s">
        <v>585</v>
      </c>
      <c r="F9" s="1779"/>
      <c r="G9" s="1779"/>
      <c r="H9" s="1779"/>
      <c r="I9" s="589"/>
      <c r="J9" s="480" t="s">
        <v>586</v>
      </c>
      <c r="K9" s="9"/>
      <c r="L9" s="9"/>
      <c r="M9" s="546"/>
      <c r="N9" s="538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3"/>
      <c r="F10" s="594" t="s">
        <v>588</v>
      </c>
      <c r="G10" s="595">
        <v>44817.630613425928</v>
      </c>
      <c r="H10" s="972"/>
      <c r="I10" s="590"/>
      <c r="J10" s="741" t="s">
        <v>589</v>
      </c>
      <c r="K10" s="973">
        <f>IFERROR(O3+200,0)</f>
        <v>218</v>
      </c>
      <c r="L10" s="581"/>
      <c r="M10" s="546"/>
      <c r="N10" s="538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3"/>
      <c r="F11" s="594" t="s">
        <v>590</v>
      </c>
      <c r="G11" s="595">
        <v>44817.630833333336</v>
      </c>
      <c r="H11" s="591"/>
      <c r="I11" s="592"/>
      <c r="J11" s="570" t="s">
        <v>591</v>
      </c>
      <c r="K11" s="597">
        <v>6897</v>
      </c>
      <c r="L11" s="581"/>
      <c r="M11" s="546"/>
      <c r="N11" s="538"/>
      <c r="O11" s="9"/>
      <c r="Q11" s="524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7"/>
      <c r="B12" s="480" t="s">
        <v>592</v>
      </c>
      <c r="C12" s="9"/>
      <c r="D12" s="9"/>
      <c r="E12" s="593"/>
      <c r="F12" s="594" t="s">
        <v>748</v>
      </c>
      <c r="G12" s="595">
        <v>44817.631041666667</v>
      </c>
      <c r="H12" s="591"/>
      <c r="I12" s="592"/>
      <c r="J12" s="742" t="s">
        <v>593</v>
      </c>
      <c r="K12" s="751">
        <f>IF(idsreag=P7,Q7,idagente)</f>
        <v>6897</v>
      </c>
      <c r="L12" s="581"/>
      <c r="M12" s="546"/>
      <c r="N12" s="538"/>
      <c r="O12" s="9"/>
      <c r="Q12" s="524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7"/>
      <c r="B13" s="584" t="s">
        <v>594</v>
      </c>
      <c r="C13" s="974">
        <f ca="1">YEAR(TODAY())</f>
        <v>2022</v>
      </c>
      <c r="D13" s="261"/>
      <c r="E13" s="593"/>
      <c r="F13" s="594" t="s">
        <v>595</v>
      </c>
      <c r="G13" s="595">
        <v>44817.631319444445</v>
      </c>
      <c r="H13" s="591"/>
      <c r="I13" s="9"/>
      <c r="J13" s="480" t="s">
        <v>596</v>
      </c>
      <c r="K13" s="9"/>
      <c r="L13" s="581"/>
      <c r="M13" s="548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5" t="s">
        <v>597</v>
      </c>
      <c r="C14" s="586">
        <v>44469</v>
      </c>
      <c r="D14" s="261"/>
      <c r="E14" s="593"/>
      <c r="F14" s="594" t="s">
        <v>598</v>
      </c>
      <c r="G14" s="595">
        <v>44817.631539351853</v>
      </c>
      <c r="H14" s="591"/>
      <c r="I14" s="9"/>
      <c r="J14" s="741" t="s">
        <v>599</v>
      </c>
      <c r="K14" s="973">
        <f>VLOOKUP(SAS_RA0_DataFim,Índices!$B$7:$F$500,2,FALSE)</f>
        <v>1185.0039999999999</v>
      </c>
      <c r="L14" s="581"/>
      <c r="M14" s="548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5" t="s">
        <v>600</v>
      </c>
      <c r="C15" s="587">
        <v>44834</v>
      </c>
      <c r="D15" s="261"/>
      <c r="E15" s="593"/>
      <c r="F15" s="594" t="s">
        <v>601</v>
      </c>
      <c r="G15" s="595">
        <v>44817.632951388892</v>
      </c>
      <c r="H15" s="596"/>
      <c r="I15" s="9"/>
      <c r="J15" s="570" t="s">
        <v>602</v>
      </c>
      <c r="K15" s="597">
        <f>VLOOKUP(SAS_RA0_DataFim,Índices!$B$7:$F$500,3,FALSE)</f>
        <v>6388.87</v>
      </c>
      <c r="L15" s="581"/>
      <c r="M15" s="548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5" t="s">
        <v>185</v>
      </c>
      <c r="C16" s="588">
        <f>DATE(YEAR(C14),MONTH(C14),1)</f>
        <v>44440</v>
      </c>
      <c r="D16" s="261"/>
      <c r="E16" s="593"/>
      <c r="F16" s="594" t="s">
        <v>603</v>
      </c>
      <c r="G16" s="595">
        <v>44817.633449074077</v>
      </c>
      <c r="H16" s="975"/>
      <c r="I16" s="9"/>
      <c r="J16" s="570" t="s">
        <v>604</v>
      </c>
      <c r="K16" s="577">
        <f>K14/VLOOKUP(DATE(YEAR(SAS_RA0_DataInicio),MONTH(SAS_RA0_DataInicio)-1,DAY(SAS_RA0_DataInicio)),Índices!$B$7:$F$500,2,FALSE)-1</f>
        <v>8.5874515481677571E-2</v>
      </c>
      <c r="L16" s="581"/>
      <c r="M16" s="548"/>
      <c r="O16" s="9"/>
      <c r="Q16" s="524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5" t="s">
        <v>187</v>
      </c>
      <c r="C17" s="588">
        <f>DATE(YEAR(C15),MONTH(C15)-1,1)</f>
        <v>44774</v>
      </c>
      <c r="D17" s="261"/>
      <c r="E17" s="593"/>
      <c r="F17" s="594" t="s">
        <v>605</v>
      </c>
      <c r="G17" s="595">
        <v>44817.633726851855</v>
      </c>
      <c r="H17" s="9"/>
      <c r="I17" s="370"/>
      <c r="J17" s="570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8"/>
      <c r="O17" s="9"/>
      <c r="Q17" s="524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5" t="s">
        <v>607</v>
      </c>
      <c r="C18" s="811" t="str">
        <f ca="1">C110</f>
        <v>REAJUSTE</v>
      </c>
      <c r="D18" s="261"/>
      <c r="E18" s="593"/>
      <c r="F18" s="594" t="s">
        <v>2132</v>
      </c>
      <c r="G18" s="595">
        <v>44817.633842592593</v>
      </c>
      <c r="I18" s="370"/>
      <c r="J18" s="575" t="s">
        <v>608</v>
      </c>
      <c r="K18" s="578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8"/>
      <c r="N18" s="9"/>
      <c r="O18" s="9"/>
      <c r="Q18" s="524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7"/>
      <c r="L19" s="17"/>
      <c r="M19" s="548"/>
      <c r="N19" s="9"/>
      <c r="O19" s="9"/>
      <c r="Q19" s="524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0"/>
      <c r="L20" s="17"/>
      <c r="M20" s="548"/>
      <c r="N20" s="9"/>
      <c r="O20" s="9"/>
      <c r="Q20" s="524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7"/>
      <c r="L21" s="17"/>
      <c r="M21" s="548"/>
      <c r="N21" s="9"/>
      <c r="O21" s="9"/>
      <c r="Q21" s="524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0"/>
      <c r="I22" s="370"/>
      <c r="J22" s="49"/>
      <c r="K22" s="549"/>
      <c r="L22" s="550"/>
      <c r="M22" s="548"/>
      <c r="N22" s="9"/>
      <c r="O22" s="9"/>
      <c r="Q22" s="524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39"/>
      <c r="B23" s="529" t="s">
        <v>609</v>
      </c>
      <c r="C23" s="540"/>
      <c r="D23" s="540"/>
      <c r="E23" s="541"/>
      <c r="F23" s="541"/>
      <c r="G23" s="541"/>
      <c r="H23" s="521"/>
      <c r="I23" s="522"/>
      <c r="J23" s="541"/>
      <c r="K23" s="542"/>
      <c r="L23" s="543"/>
      <c r="M23" s="544"/>
      <c r="N23" s="9"/>
      <c r="O23" s="9"/>
      <c r="Q23" s="524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0"/>
      <c r="I24" s="370"/>
      <c r="J24" s="49"/>
      <c r="K24" s="549"/>
      <c r="L24" s="550"/>
      <c r="M24" s="611"/>
      <c r="N24" s="557"/>
      <c r="O24" s="9"/>
      <c r="Q24" s="524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1"/>
      <c r="F25" s="552"/>
      <c r="G25" s="553"/>
      <c r="L25" s="550"/>
      <c r="M25" s="548"/>
      <c r="N25" s="557"/>
      <c r="O25" s="9"/>
      <c r="Q25" s="524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610</v>
      </c>
      <c r="C26" s="580"/>
      <c r="D26" s="977"/>
      <c r="E26" s="978"/>
      <c r="F26" s="979"/>
      <c r="G26" s="980"/>
      <c r="H26" s="977"/>
      <c r="I26" s="977"/>
      <c r="J26" s="977"/>
      <c r="K26" s="981"/>
      <c r="L26" s="982"/>
      <c r="M26" s="548"/>
      <c r="N26" s="557"/>
      <c r="O26" s="9"/>
      <c r="Q26" s="524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0"/>
      <c r="M27" s="548"/>
      <c r="N27" s="557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5" t="s">
        <v>611</v>
      </c>
      <c r="C28" s="1794" t="s">
        <v>2401</v>
      </c>
      <c r="D28" s="1794"/>
      <c r="E28" s="9"/>
      <c r="F28" s="579" t="s">
        <v>612</v>
      </c>
      <c r="G28" s="580"/>
      <c r="H28" s="580"/>
      <c r="I28" s="9"/>
      <c r="J28" s="1687" t="s">
        <v>613</v>
      </c>
      <c r="K28" s="1688"/>
      <c r="L28" s="17"/>
      <c r="M28" s="548"/>
      <c r="N28" s="557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1" t="s">
        <v>614</v>
      </c>
      <c r="G29" s="741"/>
      <c r="H29" s="983">
        <v>0.10948969803697256</v>
      </c>
      <c r="I29" s="9"/>
      <c r="J29" s="1689" t="s">
        <v>615</v>
      </c>
      <c r="K29" s="1690">
        <f>BD!C26</f>
        <v>24750524.479245801</v>
      </c>
      <c r="L29" s="17"/>
      <c r="M29" s="548"/>
      <c r="N29" s="557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2" t="s">
        <v>616</v>
      </c>
      <c r="G30" s="742"/>
      <c r="H30" s="984"/>
      <c r="I30" s="9"/>
      <c r="J30" s="1691" t="s">
        <v>617</v>
      </c>
      <c r="K30" s="1692" cm="1">
        <f t="array" ref="K30">IFERROR(limiteParcelaB[Limite_PB]*(1+K18),0)</f>
        <v>27242754.612101883</v>
      </c>
      <c r="L30" s="17"/>
      <c r="M30" s="548"/>
      <c r="O30" s="557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7" t="s">
        <v>618</v>
      </c>
      <c r="C31" s="1797"/>
      <c r="D31" s="772"/>
      <c r="E31" s="9"/>
      <c r="F31" s="985"/>
      <c r="G31" s="985"/>
      <c r="H31" s="986"/>
      <c r="I31" s="9"/>
      <c r="J31" s="1693" t="s">
        <v>619</v>
      </c>
      <c r="K31" s="1694">
        <f>D32+D33+D34</f>
        <v>26000000</v>
      </c>
      <c r="L31" s="1701" t="s">
        <v>620</v>
      </c>
      <c r="M31" s="1701" t="s">
        <v>2279</v>
      </c>
      <c r="O31" s="557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621</v>
      </c>
      <c r="C32" s="987"/>
      <c r="D32" s="781">
        <v>13436725.361869987</v>
      </c>
      <c r="E32" s="9"/>
      <c r="F32" s="988" t="s">
        <v>622</v>
      </c>
      <c r="G32" s="989"/>
      <c r="H32" s="989"/>
      <c r="I32" s="9"/>
      <c r="J32" s="1689" t="s">
        <v>623</v>
      </c>
      <c r="K32" s="1695" cm="1">
        <f t="array" aca="1" ref="K32" ca="1">subvencao[Subvencao Anual]*(VLOOKUP(DATE(AnoRefTar,MONTH(M32)-1,1),Índices!B6:F500,3,FALSE)/VLOOKUP(DATE(YEAR(M32),MONTH(L32)-1,1),Índices!B6:F500,3,FALSE))</f>
        <v>11769398.069312805</v>
      </c>
      <c r="L32" s="1700" cm="1">
        <f t="array" ref="L32">subvencao[Data_Referencia Subvencao]</f>
        <v>44430</v>
      </c>
      <c r="M32" s="1700" cm="1">
        <f t="array" ref="M32">subvencao[Data_aniversario supridora]</f>
        <v>44430</v>
      </c>
      <c r="O32" s="557"/>
      <c r="Q32" s="524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624</v>
      </c>
      <c r="C33" s="987"/>
      <c r="D33" s="782">
        <v>12563274.638130013</v>
      </c>
      <c r="E33" s="9"/>
      <c r="F33" s="570" t="s">
        <v>625</v>
      </c>
      <c r="G33" s="570"/>
      <c r="H33" s="486"/>
      <c r="I33" s="9"/>
      <c r="J33" s="1693" t="s">
        <v>626</v>
      </c>
      <c r="K33" s="1696">
        <f ca="1">LnkTXTISubvencaoPB/12</f>
        <v>980783.17244273378</v>
      </c>
      <c r="L33" s="17"/>
      <c r="M33" s="533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2" t="s">
        <v>627</v>
      </c>
      <c r="G34" s="742"/>
      <c r="H34" s="992"/>
      <c r="I34" s="9"/>
      <c r="J34" s="1689" t="s">
        <v>628</v>
      </c>
      <c r="K34" s="1697">
        <f>LinkTXTPR</f>
        <v>9.1274335705953599E-2</v>
      </c>
      <c r="L34" s="17"/>
      <c r="M34" s="548"/>
      <c r="O34" s="9"/>
      <c r="Q34" s="524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2"/>
      <c r="G35" s="994"/>
      <c r="H35" s="463"/>
      <c r="I35" s="9"/>
      <c r="J35" s="1691" t="s">
        <v>629</v>
      </c>
      <c r="K35" s="1698">
        <f ca="1">IFERROR(Energia!M20/((Energia!M5+Energia!M6-Energia!M7+Energia!N16)+Energia!M20),0)</f>
        <v>9.913678083810562E-2</v>
      </c>
      <c r="L35" s="17"/>
      <c r="M35" s="548"/>
      <c r="O35" s="9"/>
      <c r="Q35" s="524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4"/>
      <c r="D36" s="783"/>
      <c r="E36" s="9"/>
      <c r="F36" s="686" t="s">
        <v>634</v>
      </c>
      <c r="G36" s="687"/>
      <c r="H36" s="463"/>
      <c r="I36" s="9"/>
      <c r="J36" s="1693" t="s">
        <v>630</v>
      </c>
      <c r="K36" s="1699">
        <f ca="1">IFERROR(LNKTXTPercperdas,0)</f>
        <v>9.913678083810562E-2</v>
      </c>
      <c r="L36" s="17"/>
      <c r="M36" s="548"/>
      <c r="O36" s="9"/>
      <c r="Q36" s="524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3"/>
      <c r="E37" s="9"/>
      <c r="F37" s="686" t="s">
        <v>636</v>
      </c>
      <c r="G37" s="688">
        <v>573.02</v>
      </c>
      <c r="H37" s="463"/>
      <c r="I37" s="9"/>
      <c r="J37" s="270"/>
      <c r="K37" s="463"/>
      <c r="L37" s="756"/>
      <c r="M37" s="556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39"/>
      <c r="B38" s="529" t="s">
        <v>631</v>
      </c>
      <c r="C38" s="540"/>
      <c r="D38" s="540"/>
      <c r="E38" s="541"/>
      <c r="F38" s="541"/>
      <c r="G38" s="541"/>
      <c r="H38" s="521"/>
      <c r="I38" s="522"/>
      <c r="J38" s="541"/>
      <c r="K38" s="542"/>
      <c r="L38" s="543"/>
      <c r="M38" s="544"/>
      <c r="O38" s="9"/>
      <c r="Q38" s="524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88"/>
      <c r="G39" s="1788"/>
      <c r="H39" s="1556"/>
      <c r="L39" s="550"/>
      <c r="M39" s="533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0"/>
      <c r="M40" s="533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5" t="s">
        <v>632</v>
      </c>
      <c r="C41" s="576"/>
      <c r="D41" s="995">
        <f>BD!C5</f>
        <v>94568.301000000007</v>
      </c>
      <c r="E41" s="9"/>
      <c r="G41" s="575" t="s">
        <v>632</v>
      </c>
      <c r="H41" s="996">
        <f ca="1">IFERROR(Calc_Mercado!J15,0)</f>
        <v>-3.1884975918093028E-2</v>
      </c>
      <c r="I41" s="9"/>
      <c r="L41" s="550"/>
      <c r="M41" s="533"/>
      <c r="O41" s="9"/>
      <c r="Q41" s="524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0" t="s">
        <v>40</v>
      </c>
      <c r="C42" s="570"/>
      <c r="D42" s="369">
        <f>IFERROR(VLOOKUP("TFSEE",BD!$B$7:$C$16,2,FALSE),0)</f>
        <v>105469.80913964201</v>
      </c>
      <c r="E42" s="9"/>
      <c r="G42" s="570" t="s">
        <v>40</v>
      </c>
      <c r="H42" s="996">
        <f ca="1">LnkTxtVarTFSEE</f>
        <v>8.4396631206223205E-2</v>
      </c>
      <c r="I42" s="9"/>
      <c r="L42" s="550"/>
      <c r="M42" s="533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0" t="s">
        <v>41</v>
      </c>
      <c r="C43" s="570"/>
      <c r="D43" s="369">
        <f>IFERROR(VLOOKUP("CDE",BD!$B$7:$C$16,2,FALSE),0)</f>
        <v>5445793.9957999997</v>
      </c>
      <c r="E43" s="9"/>
      <c r="G43" s="570" t="s">
        <v>41</v>
      </c>
      <c r="H43" s="577">
        <f ca="1">LnkTxtVarCDE</f>
        <v>0.46336494628583802</v>
      </c>
      <c r="I43" s="9"/>
      <c r="L43" s="550"/>
      <c r="M43" s="533"/>
      <c r="O43" s="9"/>
      <c r="Q43" s="524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0" t="s">
        <v>112</v>
      </c>
      <c r="C44" s="570"/>
      <c r="D44" s="369">
        <f>IFERROR(VLOOKUP("CFURH",BD!$B$7:$C$16,2,FALSE),0)</f>
        <v>0</v>
      </c>
      <c r="E44" s="9"/>
      <c r="G44" s="570" t="s">
        <v>112</v>
      </c>
      <c r="H44" s="463" t="str">
        <f>Resultado!F19</f>
        <v>-</v>
      </c>
      <c r="I44" s="9"/>
      <c r="L44" s="550"/>
      <c r="M44" s="533"/>
      <c r="N44" s="559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0" t="s">
        <v>46</v>
      </c>
      <c r="C45" s="570"/>
      <c r="D45" s="369">
        <f>IFERROR(VLOOKUP("ESS/ERR",BD!$B$7:$C$16,2,FALSE),0)</f>
        <v>0</v>
      </c>
      <c r="E45" s="9"/>
      <c r="G45" s="570" t="s">
        <v>46</v>
      </c>
      <c r="H45" s="463" t="str">
        <f ca="1">Resultado!F20</f>
        <v>-</v>
      </c>
      <c r="I45" s="371"/>
      <c r="L45" s="550"/>
      <c r="M45" s="558"/>
      <c r="N45" s="559"/>
      <c r="O45" s="9"/>
      <c r="Q45" s="524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0" t="s">
        <v>47</v>
      </c>
      <c r="C46" s="570"/>
      <c r="D46" s="369">
        <f>IFERROR(VLOOKUP("PROINFA",BD!$B$7:$C$16,2,FALSE),0)</f>
        <v>880716.71863999998</v>
      </c>
      <c r="E46" s="9"/>
      <c r="G46" s="570" t="s">
        <v>47</v>
      </c>
      <c r="H46" s="577">
        <f ca="1">Resultado!F21</f>
        <v>0.51300995954345341</v>
      </c>
      <c r="I46" s="394"/>
      <c r="L46" s="550"/>
      <c r="M46" s="560"/>
      <c r="N46" s="559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0" t="s">
        <v>2036</v>
      </c>
      <c r="C47" s="570"/>
      <c r="D47" s="369">
        <f>IFERROR(VLOOKUP("CDE Covid TUSD",BD!$B$7:$C$16,2,FALSE),0)</f>
        <v>0</v>
      </c>
      <c r="E47" s="9"/>
      <c r="G47" s="570" t="s">
        <v>48</v>
      </c>
      <c r="H47" s="463" t="str">
        <f ca="1">Resultado!F22</f>
        <v>-</v>
      </c>
      <c r="I47" s="394"/>
      <c r="L47" s="550"/>
      <c r="M47" s="560"/>
      <c r="N47" s="559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0" t="s">
        <v>49</v>
      </c>
      <c r="C48" s="570"/>
      <c r="D48" s="369">
        <f>IFERROR(VLOOKUP("ONS",BD!$B$7:$C$16,2,FALSE),0)</f>
        <v>0</v>
      </c>
      <c r="E48" s="9"/>
      <c r="G48" s="570" t="s">
        <v>49</v>
      </c>
      <c r="H48" s="463" t="str">
        <f ca="1">Resultado!F23</f>
        <v>-</v>
      </c>
      <c r="I48" s="394"/>
      <c r="L48" s="550"/>
      <c r="M48" s="560"/>
      <c r="N48" s="559"/>
      <c r="O48" s="9"/>
      <c r="Q48" s="524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1" t="s">
        <v>635</v>
      </c>
      <c r="C49" s="741"/>
      <c r="D49" s="997">
        <f>BD!C18</f>
        <v>0</v>
      </c>
      <c r="E49" s="9"/>
      <c r="G49" s="741" t="s">
        <v>635</v>
      </c>
      <c r="H49" s="996"/>
      <c r="I49" s="394"/>
      <c r="L49" s="550"/>
      <c r="M49" s="560"/>
      <c r="N49" s="559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0" t="s">
        <v>637</v>
      </c>
      <c r="C50" s="570"/>
      <c r="D50" s="369">
        <f>BD!C19</f>
        <v>0</v>
      </c>
      <c r="E50" s="9"/>
      <c r="G50" s="570" t="s">
        <v>637</v>
      </c>
      <c r="H50" s="577"/>
      <c r="I50" s="394"/>
      <c r="L50" s="550"/>
      <c r="M50" s="560"/>
      <c r="N50" s="559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2" t="s">
        <v>638</v>
      </c>
      <c r="C51" s="742"/>
      <c r="D51" s="998"/>
      <c r="E51" s="9"/>
      <c r="G51" s="742" t="s">
        <v>638</v>
      </c>
      <c r="H51" s="577"/>
      <c r="I51" s="9"/>
      <c r="L51" s="550"/>
      <c r="M51" s="560"/>
      <c r="N51" s="559"/>
      <c r="O51" s="9"/>
      <c r="Q51" s="524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5" t="s">
        <v>639</v>
      </c>
      <c r="C52" s="575"/>
      <c r="D52" s="999">
        <f>BD!C25</f>
        <v>9079233.3119200002</v>
      </c>
      <c r="E52" s="9"/>
      <c r="G52" s="575" t="s">
        <v>639</v>
      </c>
      <c r="H52" s="578">
        <f ca="1">Resultado!F32</f>
        <v>0.10622976622983371</v>
      </c>
      <c r="I52" s="9"/>
      <c r="L52" s="550"/>
      <c r="M52" s="560"/>
      <c r="N52" s="559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5" t="s">
        <v>640</v>
      </c>
      <c r="C53" s="575"/>
      <c r="D53" s="999">
        <f>BD!C26</f>
        <v>24750524.479245801</v>
      </c>
      <c r="E53" s="9"/>
      <c r="F53" s="9"/>
      <c r="G53" s="9"/>
      <c r="H53" s="9"/>
      <c r="I53" s="9"/>
      <c r="J53" s="9"/>
      <c r="K53" s="9"/>
      <c r="L53" s="550"/>
      <c r="M53" s="560"/>
      <c r="N53" s="559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0"/>
      <c r="E54" s="9"/>
      <c r="F54" s="9"/>
      <c r="G54" s="9"/>
      <c r="H54" s="9"/>
      <c r="I54" s="9"/>
      <c r="J54" s="9"/>
      <c r="K54" s="9"/>
      <c r="L54" s="550"/>
      <c r="M54" s="560"/>
      <c r="N54" s="559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39"/>
      <c r="B55" s="529" t="s">
        <v>641</v>
      </c>
      <c r="C55" s="540"/>
      <c r="D55" s="540"/>
      <c r="E55" s="541"/>
      <c r="F55" s="541"/>
      <c r="G55" s="541"/>
      <c r="H55" s="521"/>
      <c r="I55" s="522"/>
      <c r="J55" s="541"/>
      <c r="K55" s="542"/>
      <c r="L55" s="543"/>
      <c r="M55" s="544"/>
      <c r="N55" s="559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4"/>
      <c r="E56" s="49"/>
      <c r="F56" s="49"/>
      <c r="G56" s="49"/>
      <c r="H56" s="520"/>
      <c r="I56" s="370"/>
      <c r="J56" s="49"/>
      <c r="K56" s="549"/>
      <c r="L56" s="550"/>
      <c r="M56" s="546"/>
      <c r="N56" s="559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3"/>
      <c r="F57" s="574" t="s">
        <v>642</v>
      </c>
      <c r="G57" s="49"/>
      <c r="H57" s="520"/>
      <c r="I57" s="370"/>
      <c r="J57" s="49"/>
      <c r="K57" s="549"/>
      <c r="L57" s="550"/>
      <c r="M57" s="546"/>
      <c r="N57" s="562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215</v>
      </c>
      <c r="C58" s="1002"/>
      <c r="D58" s="768"/>
      <c r="E58" s="1793">
        <v>0</v>
      </c>
      <c r="F58" s="1793"/>
      <c r="G58" s="376"/>
      <c r="L58" s="757"/>
      <c r="M58" s="561"/>
      <c r="N58" s="564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3"/>
      <c r="L59" s="550"/>
      <c r="N59" s="567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5"/>
      <c r="B60" s="529" t="s">
        <v>643</v>
      </c>
      <c r="C60" s="540"/>
      <c r="D60" s="541"/>
      <c r="E60" s="541"/>
      <c r="F60" s="541"/>
      <c r="G60" s="521"/>
      <c r="H60" s="522"/>
      <c r="I60" s="541"/>
      <c r="J60" s="542"/>
      <c r="K60" s="543"/>
      <c r="L60" s="758"/>
      <c r="M60" s="566"/>
      <c r="N60" s="567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8" t="s">
        <v>644</v>
      </c>
      <c r="C61" s="568"/>
      <c r="D61" s="568" t="s">
        <v>645</v>
      </c>
      <c r="L61" s="550"/>
      <c r="M61" s="737"/>
      <c r="N61" s="467"/>
      <c r="O61" s="567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646</v>
      </c>
      <c r="C62" s="715" t="s">
        <v>647</v>
      </c>
      <c r="D62" s="715" t="s">
        <v>192</v>
      </c>
      <c r="E62" s="1795" t="s">
        <v>648</v>
      </c>
      <c r="F62" s="1796"/>
      <c r="G62" s="715" t="s">
        <v>649</v>
      </c>
      <c r="H62" s="716" t="s">
        <v>650</v>
      </c>
      <c r="I62" s="9"/>
      <c r="J62" s="9"/>
      <c r="K62" s="9"/>
      <c r="L62" s="17"/>
      <c r="M62" s="555"/>
      <c r="N62" s="467"/>
      <c r="O62" s="567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726"/>
      <c r="D63" s="726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2"/>
      <c r="F63" s="1783"/>
      <c r="G63" s="726"/>
      <c r="H63" s="727"/>
      <c r="I63" s="9" t="s">
        <v>651</v>
      </c>
      <c r="J63" s="472"/>
      <c r="K63" s="9"/>
      <c r="L63" s="17"/>
      <c r="M63" s="555"/>
      <c r="N63" s="467"/>
      <c r="O63" s="567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732"/>
      <c r="D64" s="732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84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85"/>
      <c r="G64" s="732"/>
      <c r="H64" s="718">
        <f>SUMIF(BD!$A$41:$A$57,B64,BD!$C$41:$C$57)</f>
        <v>0</v>
      </c>
      <c r="I64" s="9" t="s">
        <v>652</v>
      </c>
      <c r="J64" s="572"/>
      <c r="K64" s="9"/>
      <c r="L64" s="17"/>
      <c r="M64" s="555"/>
      <c r="N64" s="467"/>
      <c r="O64" s="567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733"/>
      <c r="D65" s="733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86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87"/>
      <c r="G65" s="733">
        <f>IFERROR(VLOOKUP(B65,transmissorapiscofins[#All],2,FALSE),0)</f>
        <v>0</v>
      </c>
      <c r="H65" s="740">
        <f>SUMIF(BD!$A$41:$A$57,B65,BD!$C$41:$C$57)</f>
        <v>0</v>
      </c>
      <c r="I65" s="9"/>
      <c r="J65" s="572"/>
      <c r="K65" s="9"/>
      <c r="L65" s="17"/>
      <c r="M65" s="555"/>
      <c r="N65" s="467"/>
      <c r="O65" s="567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4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8417.25</v>
      </c>
      <c r="D66" s="735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0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1"/>
      <c r="G66" s="735">
        <f>IFERROR(VLOOKUP(B66,transmissorapiscofins[#All],2,FALSE),0)</f>
        <v>0</v>
      </c>
      <c r="H66" s="718">
        <f>SUMIF(BD!$A$41:$A$57,B66,BD!$C$41:$C$57)</f>
        <v>0</v>
      </c>
      <c r="I66" s="9"/>
      <c r="J66" s="9"/>
      <c r="K66" s="9"/>
      <c r="L66" s="17"/>
      <c r="M66" s="555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4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58279.58</v>
      </c>
      <c r="D67" s="734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1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2"/>
      <c r="G67" s="734">
        <f>IFERROR(VLOOKUP(B67,transmissorapiscofins[#All],2,FALSE),0)</f>
        <v>0</v>
      </c>
      <c r="H67" s="718">
        <f>SUMIF(BD!$A$41:$A$57,B67,BD!$C$41:$C$57)</f>
        <v>0</v>
      </c>
      <c r="I67" s="9"/>
      <c r="J67" s="9"/>
      <c r="K67" s="9"/>
      <c r="L67" s="17"/>
      <c r="M67" s="555"/>
      <c r="N67" s="739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4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72793.17</v>
      </c>
      <c r="D68" s="734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1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2"/>
      <c r="G68" s="734">
        <f>IFERROR(VLOOKUP(B68,transmissorapiscofins[#All],2,FALSE),0)</f>
        <v>0</v>
      </c>
      <c r="H68" s="718">
        <f>SUMIF(BD!$A$41:$A$57,B68,BD!$C$41:$C$57)</f>
        <v>0</v>
      </c>
      <c r="I68" s="9"/>
      <c r="J68" s="9"/>
      <c r="K68" s="9"/>
      <c r="L68" s="17"/>
      <c r="M68" s="555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4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83753.98</v>
      </c>
      <c r="D69" s="734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1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2"/>
      <c r="G69" s="734">
        <f>IFERROR(VLOOKUP(B69,transmissorapiscofins[#All],2,FALSE),0)</f>
        <v>0</v>
      </c>
      <c r="H69" s="718">
        <f>SUMIF(BD!$A$41:$A$57,B69,BD!$C$41:$C$57)</f>
        <v>0</v>
      </c>
      <c r="I69" s="9"/>
      <c r="J69" s="9"/>
      <c r="K69" s="9"/>
      <c r="L69" s="17"/>
      <c r="M69" s="555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4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89149.759999999995</v>
      </c>
      <c r="D70" s="734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1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2"/>
      <c r="G70" s="734">
        <f>IFERROR(VLOOKUP(B70,transmissorapiscofins[#All],2,FALSE),0)</f>
        <v>0</v>
      </c>
      <c r="H70" s="718">
        <f>SUMIF(BD!$A$41:$A$57,B70,BD!$C$41:$C$57)</f>
        <v>0</v>
      </c>
      <c r="I70" s="9"/>
      <c r="J70" s="9"/>
      <c r="K70" s="9"/>
      <c r="L70" s="17"/>
      <c r="M70" s="555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4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117367.31</v>
      </c>
      <c r="D71" s="734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1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-21236.880000000001</v>
      </c>
      <c r="F71" s="1792"/>
      <c r="G71" s="734">
        <f>IFERROR(VLOOKUP(B71,transmissorapiscofins[#All],2,FALSE),0)</f>
        <v>0</v>
      </c>
      <c r="H71" s="718">
        <f>SUMIF(BD!$A$41:$A$57,B71,BD!$C$41:$C$57)</f>
        <v>0</v>
      </c>
      <c r="I71" s="9"/>
      <c r="J71" s="9"/>
      <c r="K71" s="9"/>
      <c r="L71" s="17"/>
      <c r="M71" s="555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4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58963.53</v>
      </c>
      <c r="D72" s="734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1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2"/>
      <c r="G72" s="734">
        <f>IFERROR(VLOOKUP(B72,transmissorapiscofins[#All],2,FALSE),0)</f>
        <v>0</v>
      </c>
      <c r="H72" s="718">
        <f>SUMIF(BD!$A$41:$A$57,B72,BD!$C$41:$C$57)</f>
        <v>0</v>
      </c>
      <c r="J72" s="474" t="s">
        <v>653</v>
      </c>
      <c r="K72" s="474" t="s">
        <v>654</v>
      </c>
      <c r="L72" s="589" t="s">
        <v>654</v>
      </c>
      <c r="M72" s="589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4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70018.33</v>
      </c>
      <c r="D73" s="734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1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2"/>
      <c r="G73" s="734">
        <f>IFERROR(VLOOKUP(B73,transmissorapiscofins[#All],2,FALSE),0)</f>
        <v>0</v>
      </c>
      <c r="H73" s="718">
        <f>SUMIF(BD!$A$41:$A$57,B73,BD!$C$41:$C$57)</f>
        <v>0</v>
      </c>
      <c r="J73" s="1003" t="str">
        <f ca="1">IFERROR(VLOOKUP(TRUE,BD!D41:F56,3,FALSE),"todos os meses")</f>
        <v>todos os meses</v>
      </c>
      <c r="K73" s="1004" t="s">
        <v>656</v>
      </c>
      <c r="L73" s="1005">
        <f ca="1">IF(Energia!F24*2/3=0,0.0000001,Energia!F24*2/3)</f>
        <v>8661137.7024516668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4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40697.380000000005</v>
      </c>
      <c r="D74" s="734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1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2"/>
      <c r="G74" s="734">
        <f>IFERROR(VLOOKUP(B74,transmissorapiscofins[#All],2,FALSE),0)</f>
        <v>0</v>
      </c>
      <c r="H74" s="718">
        <f>SUMIF(BD!$A$41:$A$57,B74,BD!$C$41:$C$57)</f>
        <v>0</v>
      </c>
      <c r="I74" s="9"/>
      <c r="J74" s="9"/>
      <c r="K74" s="9"/>
      <c r="L74" s="17"/>
      <c r="M74" s="555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4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63182.380000000005</v>
      </c>
      <c r="D75" s="734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1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2"/>
      <c r="G75" s="734">
        <f>IFERROR(VLOOKUP(B75,transmissorapiscofins[#All],2,FALSE),0)</f>
        <v>0</v>
      </c>
      <c r="H75" s="718">
        <f>SUMIF(BD!$A$41:$A$57,B75,BD!$C$41:$C$57)</f>
        <v>601942.50009999995</v>
      </c>
      <c r="I75" s="9"/>
      <c r="J75" s="9"/>
      <c r="K75" s="9"/>
      <c r="L75" s="17"/>
      <c r="M75" s="555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4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79081.37</v>
      </c>
      <c r="D76" s="734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1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2"/>
      <c r="G76" s="734">
        <f>IFERROR(VLOOKUP(B76,transmissorapiscofins[#All],2,FALSE),0)</f>
        <v>0</v>
      </c>
      <c r="H76" s="718">
        <f>SUMIF(BD!$A$41:$A$57,B76,BD!$C$41:$C$57)</f>
        <v>40043.448400000001</v>
      </c>
      <c r="I76" s="9"/>
      <c r="J76" s="9"/>
      <c r="K76" s="9"/>
      <c r="L76" s="17"/>
      <c r="M76" s="555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6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100220.96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9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0"/>
      <c r="G77" s="834">
        <f>IFERROR(VLOOKUP(B77,transmissorapiscofins[#All],2,FALSE),0)</f>
        <v>0</v>
      </c>
      <c r="H77" s="826">
        <f>SUMIF(BD!$A$41:$A$57,B77,BD!$C$41:$C$57)</f>
        <v>0</v>
      </c>
      <c r="I77" s="571">
        <f>SUM(D65:D76)+D76</f>
        <v>0</v>
      </c>
      <c r="J77" s="9"/>
      <c r="K77" s="9"/>
      <c r="L77" s="17"/>
      <c r="M77" s="555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1"/>
      <c r="K78" s="9"/>
      <c r="L78" s="17"/>
      <c r="M78" s="533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7"/>
      <c r="G79" s="518"/>
      <c r="H79" s="519"/>
      <c r="I79" s="513"/>
      <c r="J79" s="513"/>
      <c r="K79" s="514"/>
      <c r="L79" s="759"/>
      <c r="M79" s="738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5"/>
      <c r="B80" s="529" t="s">
        <v>657</v>
      </c>
      <c r="C80" s="540"/>
      <c r="D80" s="541"/>
      <c r="E80" s="541"/>
      <c r="F80" s="541"/>
      <c r="G80" s="521"/>
      <c r="H80" s="522"/>
      <c r="I80" s="541"/>
      <c r="J80" s="542"/>
      <c r="K80" s="543"/>
      <c r="L80" s="758"/>
      <c r="M80" s="566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0"/>
      <c r="M81" s="533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5"/>
      <c r="C82" s="1007"/>
      <c r="D82" s="1008"/>
      <c r="E82" s="1008"/>
      <c r="F82" s="1008"/>
      <c r="H82" s="554"/>
      <c r="L82" s="550"/>
      <c r="M82" s="533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1"/>
      <c r="C83" s="1009"/>
      <c r="D83" s="1010"/>
      <c r="E83" s="1010"/>
      <c r="F83" s="1010"/>
      <c r="G83" s="376"/>
      <c r="H83" s="554"/>
      <c r="I83" s="753"/>
      <c r="L83" s="550"/>
      <c r="M83" s="533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0"/>
      <c r="C84" s="600"/>
      <c r="D84" s="525"/>
      <c r="E84" s="525"/>
      <c r="F84" s="525"/>
      <c r="G84" s="376"/>
      <c r="H84" s="554"/>
      <c r="L84" s="550"/>
      <c r="M84" s="533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1"/>
      <c r="C85" s="1011"/>
      <c r="D85" s="1012"/>
      <c r="E85" s="1012"/>
      <c r="F85" s="1012"/>
      <c r="G85" s="376"/>
      <c r="H85" s="554"/>
      <c r="L85" s="550"/>
      <c r="M85" s="533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0"/>
      <c r="C86" s="630"/>
      <c r="D86" s="631"/>
      <c r="E86" s="631"/>
      <c r="F86" s="631"/>
      <c r="G86" s="376"/>
      <c r="H86" s="554"/>
      <c r="L86" s="550"/>
      <c r="M86" s="533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2"/>
      <c r="C87" s="1013"/>
      <c r="D87" s="1014"/>
      <c r="E87" s="1014"/>
      <c r="F87" s="1014"/>
      <c r="G87" s="376"/>
      <c r="H87" s="554"/>
      <c r="L87" s="550"/>
      <c r="M87" s="533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0" t="s">
        <v>658</v>
      </c>
      <c r="C88" s="602" t="str">
        <f>VLOOKUP(LnkTXTSigla,Informacoes[],7,FALSE)</f>
        <v>24/2008</v>
      </c>
      <c r="D88" s="526"/>
      <c r="E88" s="526"/>
      <c r="F88" s="526"/>
      <c r="G88" s="376"/>
      <c r="H88" s="554"/>
      <c r="L88" s="550"/>
      <c r="M88" s="533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0" t="s">
        <v>659</v>
      </c>
      <c r="C89" s="602" t="str">
        <f>VLOOKUP(LnkTXTSigla,Informacoes[],8,FALSE)</f>
        <v>28 de novembro de 2008</v>
      </c>
      <c r="D89" s="603"/>
      <c r="E89" s="526"/>
      <c r="F89" s="525"/>
      <c r="H89" s="554"/>
      <c r="L89" s="550"/>
      <c r="M89" s="533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0" t="s">
        <v>660</v>
      </c>
      <c r="C90" s="604" t="str">
        <f>Q3</f>
        <v>Cooperativa Distribuidora de Energia Vale do Araçá</v>
      </c>
      <c r="D90" s="526"/>
      <c r="E90" s="526"/>
      <c r="F90" s="526"/>
      <c r="H90" s="554"/>
      <c r="L90" s="550"/>
      <c r="M90" s="533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0" t="s">
        <v>661</v>
      </c>
      <c r="C91" s="604" t="str">
        <f>C9</f>
        <v>Ceraçá</v>
      </c>
      <c r="D91" s="526"/>
      <c r="E91" s="527"/>
      <c r="F91" s="526"/>
      <c r="H91" s="753"/>
      <c r="L91" s="550"/>
      <c r="M91" s="533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0" t="s">
        <v>662</v>
      </c>
      <c r="C92" s="602" t="str">
        <f>D92&amp;" - "&amp;E92</f>
        <v>Saudades - SC</v>
      </c>
      <c r="D92" s="528" t="str">
        <f>VLOOKUP(LnkTXTSigla,Informacoes[],5,FALSE)</f>
        <v>Saudades</v>
      </c>
      <c r="E92" s="528" t="str">
        <f>VLOOKUP(LnkTXTSigla,Informacoes[],6,FALSE)</f>
        <v>SC</v>
      </c>
      <c r="F92" s="526"/>
      <c r="L92" s="550"/>
      <c r="M92" s="533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0" t="s">
        <v>663</v>
      </c>
      <c r="C93" s="605"/>
      <c r="D93" s="526"/>
      <c r="E93" s="526"/>
      <c r="F93" s="526"/>
      <c r="L93" s="550"/>
      <c r="M93" s="533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0" t="s">
        <v>664</v>
      </c>
      <c r="C94" s="604">
        <f>DataRevRea</f>
        <v>44834</v>
      </c>
      <c r="D94" s="526"/>
      <c r="E94" s="526">
        <f>DATE(YEAR(DataRevRea)+1,MONTH(DataRevRea)-1,1)</f>
        <v>45139</v>
      </c>
      <c r="F94" s="526"/>
      <c r="L94" s="550"/>
      <c r="M94" s="533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0" t="s">
        <v>665</v>
      </c>
      <c r="C95" s="606" t="str">
        <f>TEXT(E95,"mmmm")&amp;" de "&amp;TEXT(E95,"aaaa")&amp; " a "&amp;TEXT(E94,"mmmm")&amp;" de "&amp;TEXT(E94,"aaaa")</f>
        <v>setembro de 2022 a agosto de 2023</v>
      </c>
      <c r="D95" s="526"/>
      <c r="E95" s="526">
        <f>DATE(YEAR(DataRevRea),MONTH(DataRevRea),DAY(DataRevRea))</f>
        <v>44834</v>
      </c>
      <c r="F95" s="526"/>
      <c r="L95" s="550"/>
      <c r="M95" s="533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0" t="s">
        <v>666</v>
      </c>
      <c r="C96" s="605">
        <f>C94</f>
        <v>44834</v>
      </c>
      <c r="D96" s="607"/>
      <c r="E96" s="526"/>
      <c r="F96" s="526"/>
      <c r="L96" s="550"/>
      <c r="M96" s="533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0" t="s">
        <v>187</v>
      </c>
      <c r="C97" s="608">
        <f>DATE(YEAR(DataRevRea)+1,MONTH(DataRevRea),DAY(DataRevRea)-1)</f>
        <v>45198</v>
      </c>
      <c r="D97" s="607"/>
      <c r="E97" s="526"/>
      <c r="F97" s="526"/>
      <c r="L97" s="550"/>
      <c r="M97" s="533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0" t="s">
        <v>667</v>
      </c>
      <c r="C98" s="608" t="str">
        <f>TEXT(C14,"mmmm")&amp;" de "&amp;TEXT(C14,"aaaa")&amp; " a "&amp;TEXT(C17,"mmmm")&amp;" de "&amp;TEXT(C17,"aaaa")</f>
        <v>setembro de 2021 a agosto de 2022</v>
      </c>
      <c r="D98" s="526"/>
      <c r="E98" s="526"/>
      <c r="F98" s="526"/>
      <c r="L98" s="550"/>
      <c r="M98" s="533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0" t="s">
        <v>668</v>
      </c>
      <c r="C99" s="601"/>
      <c r="D99" s="526"/>
      <c r="E99" s="526"/>
      <c r="F99" s="526"/>
      <c r="I99" s="554"/>
      <c r="L99" s="550"/>
      <c r="M99" s="533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0" t="s">
        <v>633</v>
      </c>
      <c r="C100" s="601"/>
      <c r="D100" s="526"/>
      <c r="E100" s="526"/>
      <c r="F100" s="526"/>
      <c r="L100" s="550"/>
      <c r="M100" s="533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0" t="s">
        <v>669</v>
      </c>
      <c r="C101" s="601"/>
      <c r="D101" s="526"/>
      <c r="E101" s="526"/>
      <c r="F101" s="526"/>
      <c r="L101" s="550"/>
      <c r="M101" s="533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0" t="s">
        <v>670</v>
      </c>
      <c r="C102" s="609"/>
      <c r="D102" s="526"/>
      <c r="E102" s="526"/>
      <c r="F102" s="526"/>
      <c r="L102" s="550"/>
      <c r="M102" s="533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0" t="s">
        <v>671</v>
      </c>
      <c r="C103" s="609">
        <f>Resultado!D32</f>
        <v>10275212.197579999</v>
      </c>
      <c r="D103" s="526"/>
      <c r="E103" s="526"/>
      <c r="F103" s="526"/>
      <c r="L103" s="550"/>
      <c r="M103" s="533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0" t="s">
        <v>672</v>
      </c>
      <c r="C104" s="609">
        <f>SUM(Resultado!D25:D29)</f>
        <v>0</v>
      </c>
      <c r="D104" s="526"/>
      <c r="E104" s="526"/>
      <c r="F104" s="526"/>
      <c r="H104" s="569"/>
      <c r="I104" s="569"/>
      <c r="L104" s="550"/>
      <c r="M104" s="533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0" t="s">
        <v>673</v>
      </c>
      <c r="C105" s="609">
        <f>Resultado!D31</f>
        <v>0</v>
      </c>
      <c r="D105" s="526"/>
      <c r="E105" s="526"/>
      <c r="F105" s="526"/>
      <c r="L105" s="550"/>
      <c r="M105" s="533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0" t="s">
        <v>674</v>
      </c>
      <c r="C106" s="610">
        <f>ROUND(Calc_Mercado!J18/1000,0)</f>
        <v>12</v>
      </c>
      <c r="D106" s="526"/>
      <c r="E106" s="526"/>
      <c r="F106" s="526"/>
      <c r="L106" s="550"/>
      <c r="M106" s="533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0" t="s">
        <v>675</v>
      </c>
      <c r="C107" s="610">
        <f ca="1">ROUND(Mercado_RA0_Reais/1000000,0)</f>
        <v>54</v>
      </c>
      <c r="D107" s="526"/>
      <c r="E107" s="526"/>
      <c r="F107" s="526"/>
      <c r="L107" s="550"/>
      <c r="M107" s="533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0" t="s">
        <v>205</v>
      </c>
      <c r="C108" s="610" t="str">
        <f>VLOOKUP(LnkTXTSigla,Informacoes[],11,FALSE)</f>
        <v>Celesc</v>
      </c>
      <c r="D108" s="526"/>
      <c r="E108" s="526" t="str">
        <f>VLOOKUP(LnkTXTSigla,Informacoes[],11,FALSE)</f>
        <v>Celesc</v>
      </c>
      <c r="F108" s="526"/>
      <c r="L108" s="550"/>
      <c r="M108" s="533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2" t="s">
        <v>207</v>
      </c>
      <c r="C109" s="1015" t="str">
        <f>IF(E109=0,"!vazio!"," e "&amp;E109)</f>
        <v>!vazio!</v>
      </c>
      <c r="D109" s="1016"/>
      <c r="E109" s="1016">
        <f>VLOOKUP(LnkTXTSigla,Informacoes[],13,FALSE)</f>
        <v>0</v>
      </c>
      <c r="F109" s="1016"/>
      <c r="L109" s="550"/>
      <c r="M109" s="533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2" t="s">
        <v>676</v>
      </c>
      <c r="C110" s="1015" t="str">
        <f ca="1">IF(AnoRevRea=VLOOKUP(LnkTXTSigla,Informacoes[],15,FALSE),"REVISÃO","REAJUSTE")</f>
        <v>REAJUSTE</v>
      </c>
      <c r="D110" s="1016"/>
      <c r="E110" s="1016"/>
      <c r="F110" s="1016"/>
      <c r="L110" s="550"/>
      <c r="M110" s="533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2" t="s">
        <v>677</v>
      </c>
      <c r="C111" s="1015" t="str">
        <f ca="1">IF(C110="Reajuste", "Reajuste Tarifário Anual - RTA", "Revisão Tarifária Periódica - RTP")</f>
        <v>Reajuste Tarifário Anual - RTA</v>
      </c>
      <c r="D111" s="1015"/>
      <c r="E111" s="1015"/>
      <c r="F111" s="1015"/>
      <c r="L111" s="550"/>
      <c r="M111" s="533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2"/>
      <c r="C112" s="746"/>
      <c r="D112" s="746"/>
      <c r="E112" s="746"/>
      <c r="F112" s="746"/>
      <c r="L112" s="550"/>
      <c r="M112" s="533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1" t="s">
        <v>678</v>
      </c>
      <c r="C113" s="744" t="str">
        <f>VLOOKUP(C9,Informacoes[],19,FALSE)</f>
        <v>Não</v>
      </c>
      <c r="D113" s="744"/>
      <c r="E113" s="744"/>
      <c r="F113" s="744"/>
      <c r="L113" s="550"/>
      <c r="M113" s="533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2" t="s">
        <v>679</v>
      </c>
      <c r="C114" s="745">
        <f>VLOOKUP(C9,Informacoes[],20,FALSE)</f>
        <v>0</v>
      </c>
      <c r="D114" s="745"/>
      <c r="E114" s="745"/>
      <c r="F114" s="745"/>
      <c r="L114" s="550"/>
      <c r="M114" s="533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0"/>
      <c r="M115" s="533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0"/>
      <c r="M116" s="533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0"/>
      <c r="M117" s="533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0"/>
      <c r="M118" s="533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198</v>
      </c>
      <c r="C119" s="1017" t="s">
        <v>198</v>
      </c>
      <c r="L119" s="550"/>
      <c r="M119" s="533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Ceraçá</v>
      </c>
      <c r="C120" s="1019" t="str">
        <f>LnkTXTSuprid1</f>
        <v>Celesc</v>
      </c>
      <c r="L120" s="550"/>
      <c r="M120" s="533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0"/>
      <c r="M121" s="533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0"/>
      <c r="M122" s="533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0"/>
      <c r="M123" s="533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0"/>
      <c r="M124" s="533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0"/>
      <c r="M125" s="533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0"/>
      <c r="M126" s="533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0"/>
      <c r="M127" s="533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0"/>
      <c r="M128" s="533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3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3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3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3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3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3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3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3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3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3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3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3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3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3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3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3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3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3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3"/>
    </row>
    <row r="148" spans="13:84">
      <c r="M148" s="533"/>
    </row>
    <row r="149" spans="13:84">
      <c r="M149" s="533"/>
    </row>
    <row r="150" spans="13:84">
      <c r="M150" s="533"/>
    </row>
    <row r="151" spans="13:84">
      <c r="M151" s="533"/>
    </row>
    <row r="152" spans="13:84">
      <c r="M152" s="533"/>
    </row>
    <row r="153" spans="13:84">
      <c r="M153" s="533"/>
    </row>
    <row r="154" spans="13:84">
      <c r="M154" s="533"/>
    </row>
    <row r="155" spans="13:84">
      <c r="M155" s="533"/>
    </row>
    <row r="156" spans="13:84">
      <c r="M156" s="533"/>
    </row>
    <row r="157" spans="13:84">
      <c r="M157" s="533"/>
    </row>
    <row r="158" spans="13:84">
      <c r="M158" s="533"/>
    </row>
    <row r="159" spans="13:84">
      <c r="M159" s="533"/>
    </row>
    <row r="160" spans="13:84">
      <c r="M160" s="533"/>
    </row>
    <row r="161" spans="13:13">
      <c r="M161" s="533"/>
    </row>
    <row r="162" spans="13:13">
      <c r="M162" s="533"/>
    </row>
    <row r="163" spans="13:13">
      <c r="M163" s="533"/>
    </row>
    <row r="164" spans="13:13">
      <c r="M164" s="533"/>
    </row>
    <row r="165" spans="13:13">
      <c r="M165" s="533"/>
    </row>
    <row r="166" spans="13:13">
      <c r="M166" s="533"/>
    </row>
    <row r="167" spans="13:13">
      <c r="M167" s="533"/>
    </row>
    <row r="168" spans="13:13">
      <c r="M168" s="533"/>
    </row>
    <row r="169" spans="13:13">
      <c r="M169" s="533"/>
    </row>
    <row r="170" spans="13:13">
      <c r="M170" s="533"/>
    </row>
    <row r="171" spans="13:13">
      <c r="M171" s="533"/>
    </row>
    <row r="172" spans="13:13">
      <c r="M172" s="533"/>
    </row>
    <row r="173" spans="13:13">
      <c r="M173" s="533"/>
    </row>
    <row r="174" spans="13:13">
      <c r="M174" s="533"/>
    </row>
    <row r="175" spans="13:13">
      <c r="M175" s="533"/>
    </row>
    <row r="176" spans="13:13">
      <c r="M176" s="533"/>
    </row>
    <row r="177" spans="13:13">
      <c r="M177" s="533"/>
    </row>
    <row r="178" spans="13:13">
      <c r="M178" s="533"/>
    </row>
    <row r="179" spans="13:13">
      <c r="M179" s="533"/>
    </row>
    <row r="180" spans="13:13">
      <c r="M180" s="533"/>
    </row>
    <row r="181" spans="13:13">
      <c r="M181" s="533"/>
    </row>
    <row r="182" spans="13:13">
      <c r="M182" s="533"/>
    </row>
    <row r="183" spans="13:13">
      <c r="M183" s="533"/>
    </row>
    <row r="184" spans="13:13">
      <c r="M184" s="533"/>
    </row>
    <row r="185" spans="13:13">
      <c r="M185" s="533"/>
    </row>
    <row r="186" spans="13:13">
      <c r="M186" s="533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6.285156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0" t="s">
        <v>681</v>
      </c>
      <c r="C1" s="1021"/>
      <c r="D1" s="70"/>
      <c r="E1" s="70"/>
      <c r="F1" s="70"/>
      <c r="G1" s="75"/>
    </row>
    <row r="2" spans="1:15" ht="16.5">
      <c r="A2" s="137"/>
      <c r="B2" s="619" t="str">
        <f ca="1">CAPA!C9&amp; " - " &amp;CAPA!C110&amp;" "&amp;AnoRefTar</f>
        <v>Ceraçá - REAJUSTE 2022</v>
      </c>
      <c r="C2" s="70"/>
      <c r="D2" s="70"/>
      <c r="E2" s="70"/>
      <c r="F2" s="70"/>
      <c r="G2" s="75"/>
      <c r="H2" s="376" t="s">
        <v>682</v>
      </c>
      <c r="I2" s="656">
        <v>44817.710949074077</v>
      </c>
      <c r="K2" s="691" t="s">
        <v>683</v>
      </c>
      <c r="L2" s="692"/>
    </row>
    <row r="3" spans="1:15" ht="16.5" customHeight="1">
      <c r="A3" s="137"/>
      <c r="B3" s="936" t="s">
        <v>684</v>
      </c>
      <c r="C3" s="785"/>
      <c r="D3" s="75"/>
      <c r="E3" s="75"/>
      <c r="F3" s="75"/>
      <c r="G3" s="75"/>
      <c r="H3" s="657" t="s">
        <v>685</v>
      </c>
      <c r="I3" s="657">
        <v>11</v>
      </c>
      <c r="K3" s="693" t="s">
        <v>686</v>
      </c>
      <c r="L3" s="654">
        <v>6.6974326945341334E-2</v>
      </c>
    </row>
    <row r="4" spans="1:15" ht="16.5">
      <c r="A4" s="137"/>
      <c r="G4" s="75"/>
      <c r="J4" s="9"/>
      <c r="K4" s="693" t="s">
        <v>687</v>
      </c>
      <c r="L4" s="654">
        <v>0.11130835735180433</v>
      </c>
    </row>
    <row r="5" spans="1:15" ht="16.5" customHeight="1">
      <c r="A5" s="137"/>
      <c r="B5" s="1022" t="s">
        <v>688</v>
      </c>
      <c r="C5" s="1023">
        <f ca="1">D39+D34</f>
        <v>58374424.553177767</v>
      </c>
      <c r="D5" s="142"/>
      <c r="E5" s="79"/>
      <c r="F5" s="77"/>
      <c r="G5" s="75"/>
      <c r="H5" s="655"/>
      <c r="J5" s="270"/>
      <c r="K5" s="694" t="s">
        <v>689</v>
      </c>
      <c r="L5" s="662">
        <v>9.7521035077307694E-2</v>
      </c>
    </row>
    <row r="6" spans="1:15" ht="16.5" customHeight="1">
      <c r="A6" s="137"/>
      <c r="B6" s="76" t="s">
        <v>690</v>
      </c>
      <c r="C6" s="77">
        <f ca="1">Mercado_RA0_Reais</f>
        <v>54457200.200000003</v>
      </c>
      <c r="D6" s="77"/>
      <c r="E6" s="471"/>
      <c r="F6" s="77"/>
      <c r="G6" s="138"/>
      <c r="H6" s="81"/>
      <c r="J6" s="270"/>
      <c r="K6" s="695" t="s">
        <v>691</v>
      </c>
      <c r="L6" s="696">
        <v>551.48</v>
      </c>
      <c r="M6" s="79"/>
    </row>
    <row r="7" spans="1:15" ht="16.5" customHeight="1">
      <c r="A7" s="137"/>
      <c r="B7" s="1024" t="s">
        <v>2317</v>
      </c>
      <c r="C7" s="1025">
        <f ca="1">ROUND((C5/C6-1),4)</f>
        <v>7.1900000000000006E-2</v>
      </c>
      <c r="D7" s="487"/>
      <c r="E7" s="75"/>
      <c r="F7" s="1769"/>
      <c r="G7" s="75"/>
      <c r="H7" s="81"/>
      <c r="K7" s="49" t="s">
        <v>692</v>
      </c>
      <c r="L7" s="914">
        <f>L6/'Tabelas e Gráficos'!U39-1</f>
        <v>6.395539521154503E-2</v>
      </c>
    </row>
    <row r="8" spans="1:15" ht="16.5" customHeight="1">
      <c r="A8" s="137"/>
      <c r="B8" s="78" t="s">
        <v>693</v>
      </c>
      <c r="C8" s="252">
        <f ca="1">ROUND(Financeiros!E7,4)</f>
        <v>-0.22509999999999999</v>
      </c>
      <c r="D8" s="488"/>
      <c r="E8" s="75"/>
      <c r="F8" s="252"/>
      <c r="G8" s="75"/>
      <c r="H8" s="81"/>
      <c r="K8" s="697" t="s">
        <v>694</v>
      </c>
      <c r="L8" s="698" t="s">
        <v>2039</v>
      </c>
      <c r="M8" s="658" t="s">
        <v>696</v>
      </c>
    </row>
    <row r="9" spans="1:15" ht="16.5" customHeight="1">
      <c r="A9" s="137"/>
      <c r="B9" s="1026" t="s">
        <v>2318</v>
      </c>
      <c r="C9" s="1027">
        <f ca="1">ROUND((C7+C8),5)</f>
        <v>-0.1532</v>
      </c>
      <c r="D9" s="487"/>
      <c r="E9" s="487"/>
      <c r="F9" s="1769"/>
      <c r="G9" s="75"/>
      <c r="K9" s="693" t="s">
        <v>697</v>
      </c>
      <c r="L9" s="699">
        <f>Aj.Subsídio!G28*12</f>
        <v>0</v>
      </c>
      <c r="M9" s="699">
        <v>0</v>
      </c>
    </row>
    <row r="10" spans="1:15" ht="16.5" customHeight="1">
      <c r="A10" s="137"/>
      <c r="B10" s="1026" t="s">
        <v>698</v>
      </c>
      <c r="C10" s="1027">
        <f ca="1">ROUND((LnkTXTEfeito-LnkTXTIRTTotal),4)</f>
        <v>0.25069999999999998</v>
      </c>
      <c r="D10" s="702">
        <f ca="1">LnKTxTRA1+Financeiros!D5</f>
        <v>46113549.02425722</v>
      </c>
      <c r="E10" s="75"/>
      <c r="F10" s="1769"/>
      <c r="G10" s="75"/>
      <c r="K10" s="693" t="s">
        <v>699</v>
      </c>
      <c r="L10" s="699">
        <f>Aj.Subsídio!G29*12</f>
        <v>15333.119999999999</v>
      </c>
      <c r="M10" s="699">
        <v>17050.837447486396</v>
      </c>
    </row>
    <row r="11" spans="1:15" ht="16.5" customHeight="1">
      <c r="A11" s="137"/>
      <c r="B11" s="936" t="s">
        <v>700</v>
      </c>
      <c r="C11" s="785"/>
      <c r="D11" s="1028"/>
      <c r="E11" s="1028"/>
      <c r="F11" s="1028"/>
      <c r="G11" s="75"/>
      <c r="K11" s="693" t="s">
        <v>701</v>
      </c>
      <c r="L11" s="699">
        <f>Aj.Subsídio!G30*12</f>
        <v>0</v>
      </c>
      <c r="M11" s="699">
        <v>0</v>
      </c>
    </row>
    <row r="12" spans="1:15" ht="16.5" customHeight="1">
      <c r="E12" s="1029"/>
      <c r="F12" s="1029"/>
      <c r="K12" s="693" t="s">
        <v>702</v>
      </c>
      <c r="L12" s="699">
        <f>Aj.Subsídio!G31*12</f>
        <v>101871.59999999999</v>
      </c>
      <c r="M12" s="699">
        <v>52164.675222395053</v>
      </c>
      <c r="O12" s="837"/>
    </row>
    <row r="13" spans="1:15" ht="15" customHeight="1">
      <c r="B13" s="1030"/>
      <c r="C13" s="1031" t="s">
        <v>695</v>
      </c>
      <c r="D13" s="1032" t="s">
        <v>696</v>
      </c>
      <c r="E13" s="1031" t="s">
        <v>703</v>
      </c>
      <c r="F13" s="1030" t="s">
        <v>704</v>
      </c>
      <c r="K13" s="693" t="s">
        <v>705</v>
      </c>
      <c r="L13" s="699">
        <f>Aj.Subsídio!G32*12</f>
        <v>2847483.7199999997</v>
      </c>
      <c r="M13" s="699">
        <v>1326709.0770214924</v>
      </c>
      <c r="O13" s="837"/>
    </row>
    <row r="14" spans="1:15" ht="14.25">
      <c r="B14" s="1033" t="s">
        <v>706</v>
      </c>
      <c r="C14" s="1034">
        <f ca="1">SUM(C15:C23)</f>
        <v>6220952.1956182271</v>
      </c>
      <c r="D14" s="1035">
        <f ca="1">SUM(D15:D23)</f>
        <v>9107505.8019202687</v>
      </c>
      <c r="E14" s="1036">
        <f t="shared" ref="E14:E34" ca="1" si="0">(D14-C14)/LnkTXTRA0</f>
        <v>5.3005912821460867E-2</v>
      </c>
      <c r="F14" s="1037">
        <f ca="1">IF(ISERROR(D14/C14-1),"-",D14/C14-1)</f>
        <v>0.4640051097539708</v>
      </c>
      <c r="G14" s="287"/>
      <c r="H14" s="100"/>
      <c r="K14" s="693" t="s">
        <v>707</v>
      </c>
      <c r="L14" s="699">
        <f>Aj.Subsídio!G33*12</f>
        <v>60051.72</v>
      </c>
      <c r="M14" s="699">
        <v>56399.514202222475</v>
      </c>
      <c r="O14" s="837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710</v>
      </c>
      <c r="C17" s="223">
        <f ca="1">Mercado_Faturado_Encargo_TFSEE_BRUTO</f>
        <v>101287.302274345</v>
      </c>
      <c r="D17" s="131">
        <f ca="1">Encargos!C6</f>
        <v>109835.60937026615</v>
      </c>
      <c r="E17" s="221">
        <f t="shared" ca="1" si="0"/>
        <v>1.5697294507478456E-4</v>
      </c>
      <c r="F17" s="253">
        <f t="shared" ca="1" si="1"/>
        <v>8.4396631206223205E-2</v>
      </c>
      <c r="G17" s="287"/>
    </row>
    <row r="18" spans="2:14" ht="14.25">
      <c r="B18" s="78" t="s">
        <v>711</v>
      </c>
      <c r="C18" s="224">
        <f ca="1">Mercado_Faturado_Encargo_CDE_BRUTO+Calc_Mercado!S75</f>
        <v>5266263.8801412862</v>
      </c>
      <c r="D18" s="225">
        <f ca="1">Encargos!C7</f>
        <v>7706465.960090002</v>
      </c>
      <c r="E18" s="222">
        <f t="shared" ca="1" si="0"/>
        <v>4.4809539803493531E-2</v>
      </c>
      <c r="F18" s="253">
        <f t="shared" ca="1" si="1"/>
        <v>0.46336494628583802</v>
      </c>
      <c r="G18" s="287"/>
      <c r="H18" s="140"/>
      <c r="K18" s="49" t="s">
        <v>712</v>
      </c>
      <c r="L18" s="700">
        <v>44818.470266203702</v>
      </c>
      <c r="M18" s="49"/>
      <c r="N18" s="613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713</v>
      </c>
      <c r="L19" s="693"/>
      <c r="M19" s="693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3" t="s">
        <v>715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853401.01320259506</v>
      </c>
      <c r="D21" s="131">
        <f ca="1">Encargos!C10</f>
        <v>1291204.2324600006</v>
      </c>
      <c r="E21" s="221">
        <f t="shared" ca="1" si="0"/>
        <v>8.0394000728925743E-3</v>
      </c>
      <c r="F21" s="253">
        <f t="shared" ca="1" si="1"/>
        <v>0.51300995954345341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6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717</v>
      </c>
      <c r="C24" s="1034">
        <f ca="1">SUM(C25:C32)</f>
        <v>9288497.3007001765</v>
      </c>
      <c r="D24" s="1035">
        <f>SUM(D25:D32)</f>
        <v>10275212.197579999</v>
      </c>
      <c r="E24" s="1036">
        <f t="shared" ca="1" si="0"/>
        <v>1.811908973021022E-2</v>
      </c>
      <c r="F24" s="1037">
        <f t="shared" ca="1" si="1"/>
        <v>0.10622976622983371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46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1768" t="s">
        <v>718</v>
      </c>
      <c r="D27" s="1747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68" t="s">
        <v>719</v>
      </c>
      <c r="D28" s="1747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47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47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6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9288497.3007001765</v>
      </c>
      <c r="D32" s="1746">
        <f>CUSD!C3</f>
        <v>10275212.197579999</v>
      </c>
      <c r="E32" s="221">
        <f t="shared" ca="1" si="2"/>
        <v>1.811908973021022E-2</v>
      </c>
      <c r="F32" s="254">
        <f t="shared" ca="1" si="1"/>
        <v>0.10622976622983371</v>
      </c>
      <c r="G32" s="287"/>
    </row>
    <row r="33" spans="2:8" ht="14.25">
      <c r="B33" s="1038" t="s">
        <v>108</v>
      </c>
      <c r="C33" s="1034">
        <f ca="1">SUM(Calc_Mercado!C79:C84)</f>
        <v>14158165.283587661</v>
      </c>
      <c r="D33" s="1035">
        <f ca="1">Energia!F24</f>
        <v>12991706.553677499</v>
      </c>
      <c r="E33" s="1036">
        <f t="shared" ca="1" si="0"/>
        <v>-2.1419733765713524E-2</v>
      </c>
      <c r="F33" s="1037">
        <f ca="1">IF(ISERROR(D33/C33-1),"-",D33/C33-1)</f>
        <v>-8.2387703953586189E-2</v>
      </c>
      <c r="G33" s="287"/>
    </row>
    <row r="34" spans="2:8" ht="14.25">
      <c r="B34" s="1039" t="s">
        <v>722</v>
      </c>
      <c r="C34" s="1040">
        <f ca="1">C14+C24+C33</f>
        <v>29667614.779906064</v>
      </c>
      <c r="D34" s="1041">
        <f ca="1">D33+D24+D14</f>
        <v>32374424.553177767</v>
      </c>
      <c r="E34" s="1042">
        <f t="shared" ca="1" si="0"/>
        <v>4.9705268785957567E-2</v>
      </c>
      <c r="F34" s="1043">
        <f ca="1">IF(ISERROR(D34/C34-1),"-",D34/C34-1)</f>
        <v>9.1237863015028342E-2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5"/>
      <c r="D36" s="785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59"/>
      <c r="C38" s="659" t="s">
        <v>695</v>
      </c>
      <c r="D38" s="659" t="s">
        <v>696</v>
      </c>
      <c r="E38" s="1044" t="s">
        <v>703</v>
      </c>
      <c r="F38" s="659" t="s">
        <v>704</v>
      </c>
      <c r="G38" s="69"/>
      <c r="H38" s="141"/>
    </row>
    <row r="39" spans="2:8" ht="15.75" customHeight="1">
      <c r="B39" s="1045" t="s">
        <v>723</v>
      </c>
      <c r="C39" s="1046">
        <f ca="1">LnkTXTRA0-C34</f>
        <v>24789585.420093939</v>
      </c>
      <c r="D39" s="1047">
        <f>IFERROR(SMALL(IF(LnkTXTPBReq=0,CAPA!K29,LnkTXTPBReq):LNKTXTLImPB,1),0)</f>
        <v>26000000</v>
      </c>
      <c r="E39" s="1048">
        <f ca="1">(D39-C39)/LnkTXTRA0</f>
        <v>2.2226897002796359E-2</v>
      </c>
      <c r="F39" s="1049">
        <f ca="1">IF(ISERROR(D39/C39-1),"-",D39/C39-1)</f>
        <v>4.8827544284985258E-2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6" t="s">
        <v>724</v>
      </c>
      <c r="C41" s="785"/>
      <c r="D41" s="785"/>
      <c r="E41" s="1028"/>
      <c r="F41" s="1028"/>
    </row>
    <row r="42" spans="2:8" ht="9" customHeight="1">
      <c r="E42" s="75"/>
      <c r="F42" s="75"/>
    </row>
    <row r="43" spans="2:8" ht="15.75" customHeight="1">
      <c r="B43" s="703"/>
      <c r="C43" s="1030" t="s">
        <v>725</v>
      </c>
      <c r="D43" s="1030" t="s">
        <v>703</v>
      </c>
      <c r="E43" s="461" t="s">
        <v>726</v>
      </c>
      <c r="F43" s="461"/>
      <c r="G43" s="461"/>
    </row>
    <row r="44" spans="2:8" ht="15.75" hidden="1" customHeight="1">
      <c r="B44" s="1050" t="s">
        <v>727</v>
      </c>
      <c r="C44" s="1051">
        <f ca="1">SUM(C45:C85)</f>
        <v>-12260875.528920546</v>
      </c>
      <c r="D44" s="1755">
        <f ca="1">C44/Financeiros!D4</f>
        <v>-0.22514700505885621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865305.55296727712</v>
      </c>
      <c r="D45" s="466">
        <f ca="1">C45/Financeiros!$D$4</f>
        <v>1.588964452431172E-2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212834.36761048861</v>
      </c>
      <c r="D46" s="466">
        <f ca="1">C46/Financeiros!$D$4</f>
        <v>3.9082870002282747E-3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-22050.655122158136</v>
      </c>
      <c r="D55" s="466">
        <f ca="1">C55/Financeiros!$D$4</f>
        <v>-4.0491716506127202E-4</v>
      </c>
      <c r="E55" s="461">
        <f t="shared" ca="1" si="3"/>
        <v>1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-11769398.069312805</v>
      </c>
      <c r="D56" s="466">
        <f ca="1">C56/Financeiros!$D$4</f>
        <v>-0.21612198251265963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-662461.38184623118</v>
      </c>
      <c r="D57" s="466">
        <f ca="1">C57/Financeiros!$D$4</f>
        <v>-1.2164807948503954E-2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 xml:space="preserve">Repasse de ICMS 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 ca="1">'Tabelas e Gráficos'!AN188</f>
        <v>-865305.55296727712</v>
      </c>
      <c r="D66" s="466">
        <f ca="1">C66/Financeiros!$D$4</f>
        <v>-1.588964452431172E-2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2480200.2097501578</v>
      </c>
      <c r="D73" s="466">
        <f ca="1">C73/Financeiros!$D$4</f>
        <v>4.5544027247845134E-2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>Diferimento CUSD</v>
      </c>
      <c r="C84" s="447">
        <f>'Tabelas e Gráficos'!AN206</f>
        <v>-2500000</v>
      </c>
      <c r="D84" s="466">
        <f ca="1">C84/Financeiros!$D$4</f>
        <v>-4.5907611680704799E-2</v>
      </c>
      <c r="E84" s="461">
        <f t="shared" ca="1" si="3"/>
        <v>1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2"/>
      <c r="C86" s="1753"/>
      <c r="D86" s="1754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52"/>
      <c r="C102" s="1753"/>
      <c r="D102" s="1754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C6" zoomScaleNormal="100" workbookViewId="0">
      <selection activeCell="S75" sqref="S75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872</v>
      </c>
      <c r="C1" s="1021"/>
      <c r="D1" s="933"/>
      <c r="E1" s="933"/>
      <c r="F1" s="933"/>
      <c r="G1" s="1131" t="s">
        <v>873</v>
      </c>
      <c r="H1" s="1132">
        <f ca="1">LnkTXTIRTEco</f>
        <v>7.1900000000000006E-2</v>
      </c>
      <c r="I1" s="70"/>
      <c r="J1" s="70"/>
      <c r="P1" s="1133" t="s">
        <v>874</v>
      </c>
      <c r="Q1" s="1134"/>
      <c r="S1" s="1135" t="s">
        <v>875</v>
      </c>
      <c r="T1" s="1134" t="s">
        <v>876</v>
      </c>
      <c r="W1" s="1133" t="s">
        <v>875</v>
      </c>
      <c r="X1" s="1134" t="s">
        <v>876</v>
      </c>
    </row>
    <row r="2" spans="2:24" ht="14.25">
      <c r="B2" s="136" t="str">
        <f>CAPA!C9</f>
        <v>Ceraçá</v>
      </c>
      <c r="C2" s="70"/>
      <c r="D2" s="70"/>
      <c r="G2" s="120" t="s">
        <v>877</v>
      </c>
      <c r="H2" s="121">
        <f ca="1">LnkTXTIRTTotal</f>
        <v>-0.1532</v>
      </c>
      <c r="P2" s="1136">
        <f>DATE(YEAR(P4),MONTH(P4)-1,1)</f>
        <v>44440</v>
      </c>
      <c r="Q2" s="661"/>
      <c r="S2" s="660" t="s">
        <v>878</v>
      </c>
      <c r="T2" s="661" t="s">
        <v>879</v>
      </c>
      <c r="W2" s="660" t="s">
        <v>880</v>
      </c>
      <c r="X2" s="661" t="s">
        <v>879</v>
      </c>
    </row>
    <row r="3" spans="2:24" ht="14.25">
      <c r="P3" s="1133" t="s">
        <v>874</v>
      </c>
      <c r="Q3" s="1134"/>
      <c r="S3" s="1135" t="s">
        <v>875</v>
      </c>
      <c r="T3" s="1134" t="s">
        <v>876</v>
      </c>
      <c r="W3" s="1133" t="s">
        <v>875</v>
      </c>
      <c r="X3" s="1134" t="s">
        <v>876</v>
      </c>
    </row>
    <row r="4" spans="2:24" ht="14.25">
      <c r="P4" s="1136">
        <f>DATE(YEAR(P6),MONTH(P6)-1,1)</f>
        <v>44470</v>
      </c>
      <c r="Q4" s="661"/>
      <c r="S4" s="660" t="s">
        <v>538</v>
      </c>
      <c r="T4" s="661" t="s">
        <v>879</v>
      </c>
      <c r="W4" s="660" t="s">
        <v>880</v>
      </c>
      <c r="X4" s="661" t="s">
        <v>879</v>
      </c>
    </row>
    <row r="5" spans="2:24" ht="14.25">
      <c r="P5" s="1133" t="s">
        <v>874</v>
      </c>
      <c r="Q5" s="1134"/>
      <c r="S5" s="1133" t="s">
        <v>875</v>
      </c>
      <c r="T5" s="1134" t="s">
        <v>876</v>
      </c>
      <c r="V5" s="95"/>
      <c r="W5" s="1133" t="s">
        <v>875</v>
      </c>
      <c r="X5" s="1134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6">
        <f>DATE(YEAR(P8),MONTH(P8)-1,1)</f>
        <v>44501</v>
      </c>
      <c r="Q6" s="661"/>
      <c r="S6" s="660" t="str">
        <f>"=A3"</f>
        <v>=A3</v>
      </c>
      <c r="T6" s="661" t="s">
        <v>879</v>
      </c>
      <c r="W6" s="660" t="s">
        <v>880</v>
      </c>
      <c r="X6" s="661" t="s">
        <v>879</v>
      </c>
    </row>
    <row r="7" spans="2:24" ht="14.25">
      <c r="B7" s="1137" t="s">
        <v>778</v>
      </c>
      <c r="C7" s="1137" t="s">
        <v>108</v>
      </c>
      <c r="D7" s="1137" t="s">
        <v>884</v>
      </c>
      <c r="E7" s="96"/>
      <c r="F7" s="1137" t="s">
        <v>778</v>
      </c>
      <c r="G7" s="1137" t="s">
        <v>884</v>
      </c>
      <c r="I7" s="1138" t="s">
        <v>778</v>
      </c>
      <c r="J7" s="1138" t="s">
        <v>885</v>
      </c>
      <c r="L7" s="416" t="s">
        <v>886</v>
      </c>
      <c r="M7" s="416"/>
      <c r="N7" s="416" t="s">
        <v>725</v>
      </c>
      <c r="P7" s="1133" t="s">
        <v>874</v>
      </c>
      <c r="Q7" s="1134"/>
      <c r="S7" s="1133" t="s">
        <v>875</v>
      </c>
      <c r="T7" s="1134" t="s">
        <v>876</v>
      </c>
      <c r="W7" s="1133" t="s">
        <v>875</v>
      </c>
      <c r="X7" s="1134" t="s">
        <v>876</v>
      </c>
    </row>
    <row r="8" spans="2:24" ht="14.25">
      <c r="B8" s="1139" t="s">
        <v>887</v>
      </c>
      <c r="C8" s="1140">
        <f ca="1">SUM(C9:C15)</f>
        <v>91552.993000000031</v>
      </c>
      <c r="D8" s="1141">
        <f ca="1">SUM(D9:D15)</f>
        <v>54392515.760000005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0.25319214403612694</v>
      </c>
      <c r="L8" s="1142" t="s">
        <v>889</v>
      </c>
      <c r="M8" s="1143"/>
      <c r="N8" s="1144">
        <f>DSUM('BD MERCADO'!A2:AAA999998,"Total",S27:S28)</f>
        <v>7858141.656080001</v>
      </c>
      <c r="P8" s="1136">
        <f>DATE(YEAR(P10),MONTH(P10)-1,1)</f>
        <v>44531</v>
      </c>
      <c r="Q8" s="661"/>
      <c r="S8" s="660" t="str">
        <f>"=A3a"</f>
        <v>=A3a</v>
      </c>
      <c r="T8" s="661" t="s">
        <v>879</v>
      </c>
      <c r="W8" s="660" t="s">
        <v>880</v>
      </c>
      <c r="X8" s="661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755</v>
      </c>
      <c r="J9" s="1146">
        <f ca="1">SUM(INDIRECT("dados_MercadoBase[[PisPasep]:[Cofins]]"))/SUM(INDIRECT("dados_MercadoBase[[PisPasep]:[ICMS]]"),INDIRECT("dados_MercadoBase[FinTotAj]"))</f>
        <v>3.4486170621406985E-2</v>
      </c>
      <c r="L9" s="96" t="s">
        <v>890</v>
      </c>
      <c r="M9" s="415"/>
      <c r="N9" s="115">
        <f>DSUM('BD MERCADO'!A2:AAA999998,"Total",S29:S30)</f>
        <v>14155766.771310002</v>
      </c>
      <c r="P9" s="1133" t="s">
        <v>874</v>
      </c>
      <c r="Q9" s="1134"/>
      <c r="S9" s="1133" t="s">
        <v>875</v>
      </c>
      <c r="T9" s="1134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2085503.3974999997</v>
      </c>
      <c r="P10" s="1136">
        <f>DATE(YEAR(P12),MONTH(P12)-1,1)</f>
        <v>44562</v>
      </c>
      <c r="Q10" s="661"/>
      <c r="S10" s="660" t="s">
        <v>533</v>
      </c>
      <c r="T10" s="661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853401.01320259541</v>
      </c>
      <c r="L11" s="96" t="s">
        <v>894</v>
      </c>
      <c r="M11" s="415"/>
      <c r="N11" s="115">
        <f>DSUM('BD MERCADO'!A2:AAA999998,"Total",S33:S34)</f>
        <v>26960088.818779994</v>
      </c>
      <c r="P11" s="1133" t="s">
        <v>874</v>
      </c>
      <c r="Q11" s="1134"/>
      <c r="S11" s="1133" t="s">
        <v>875</v>
      </c>
      <c r="T11" s="1134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5266263.8801412862</v>
      </c>
      <c r="I12" s="111" t="s">
        <v>895</v>
      </c>
      <c r="L12" s="96" t="s">
        <v>896</v>
      </c>
      <c r="M12" s="415"/>
      <c r="N12" s="115">
        <f>DSUM('BD MERCADO'!A2:AAA999998,"Total",S35:S36)</f>
        <v>339415.55924999999</v>
      </c>
      <c r="P12" s="1136">
        <f>DATE(YEAR(P14),MONTH(P14)-1,1)</f>
        <v>44593</v>
      </c>
      <c r="Q12" s="661"/>
      <c r="S12" s="660" t="s">
        <v>897</v>
      </c>
      <c r="T12" s="661" t="s">
        <v>879</v>
      </c>
      <c r="X12" s="97"/>
    </row>
    <row r="13" spans="2:24" ht="14.25">
      <c r="B13" s="112" t="s">
        <v>533</v>
      </c>
      <c r="C13" s="98">
        <f t="shared" ca="1" si="2"/>
        <v>32076.109000000015</v>
      </c>
      <c r="D13" s="113">
        <f t="shared" ca="1" si="1"/>
        <v>15238433.705429997</v>
      </c>
      <c r="E13" s="96"/>
      <c r="F13" s="96" t="s">
        <v>40</v>
      </c>
      <c r="G13" s="115">
        <f t="shared" ca="1" si="0"/>
        <v>101287.30227434501</v>
      </c>
      <c r="I13" s="1138" t="s">
        <v>778</v>
      </c>
      <c r="J13" s="1138" t="s">
        <v>898</v>
      </c>
      <c r="L13" s="96" t="s">
        <v>899</v>
      </c>
      <c r="M13" s="415"/>
      <c r="N13" s="115">
        <f>DSUM('BD MERCADO'!A2:AAA999998,"Total",S37:S38)</f>
        <v>969917.99268000014</v>
      </c>
      <c r="P13" s="1133" t="s">
        <v>874</v>
      </c>
      <c r="Q13" s="1134"/>
      <c r="S13" s="1133" t="s">
        <v>875</v>
      </c>
      <c r="T13" s="1134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901</v>
      </c>
      <c r="J14" s="1148">
        <f>CAPA!D41</f>
        <v>94568.301000000007</v>
      </c>
      <c r="L14" s="96" t="s">
        <v>902</v>
      </c>
      <c r="M14" s="415"/>
      <c r="N14" s="115">
        <f>DSUM('BD MERCADO'!A2:AAA999998,"Total",S39:S40)</f>
        <v>2023681.5643999998</v>
      </c>
      <c r="P14" s="1136">
        <f>DATE(YEAR(P16),MONTH(P16)-1,1)</f>
        <v>44621</v>
      </c>
      <c r="Q14" s="661"/>
      <c r="S14" s="660" t="s">
        <v>880</v>
      </c>
      <c r="T14" s="661" t="s">
        <v>879</v>
      </c>
      <c r="X14" s="97"/>
    </row>
    <row r="15" spans="2:24" ht="14.25">
      <c r="B15" s="112" t="s">
        <v>540</v>
      </c>
      <c r="C15" s="98">
        <f t="shared" ca="1" si="2"/>
        <v>59476.884000000013</v>
      </c>
      <c r="D15" s="113">
        <f t="shared" ca="1" si="1"/>
        <v>39154082.054570004</v>
      </c>
      <c r="E15" s="96"/>
      <c r="F15" s="96" t="s">
        <v>108</v>
      </c>
      <c r="G15" s="115">
        <f ca="1">SUM(C79:C84)</f>
        <v>14158165.283587661</v>
      </c>
      <c r="I15" s="1149" t="s">
        <v>831</v>
      </c>
      <c r="J15" s="1150">
        <f ca="1">IFERROR(Mercado_RA0_MWh/J14-1,0)</f>
        <v>-3.1884975918093028E-2</v>
      </c>
      <c r="L15" s="1151" t="s">
        <v>903</v>
      </c>
      <c r="M15" s="1152"/>
      <c r="N15" s="1153">
        <f ca="1">D25-SUM(N8:N14)</f>
        <v>64684.440000012517</v>
      </c>
      <c r="P15" s="1133" t="s">
        <v>874</v>
      </c>
      <c r="Q15" s="1134"/>
      <c r="S15" s="1133" t="s">
        <v>904</v>
      </c>
      <c r="T15" s="1134" t="s">
        <v>876</v>
      </c>
      <c r="X15" s="97"/>
    </row>
    <row r="16" spans="2:24" ht="14.25">
      <c r="B16" s="1139" t="s">
        <v>905</v>
      </c>
      <c r="C16" s="1154">
        <f ca="1">DSUM(MercadoBase,"TUSD_E",INDIRECT("Mercado_CriterioResBr"))</f>
        <v>172.65100000000004</v>
      </c>
      <c r="D16" s="1155">
        <f ca="1">DSUM(MercadoBase,"Total",INDIRECT("Mercado_CriterioResBr"))</f>
        <v>102402.76112000001</v>
      </c>
      <c r="E16" s="96"/>
      <c r="F16" s="96" t="s">
        <v>906</v>
      </c>
      <c r="G16" s="115">
        <f ca="1">SUM(C87:C97)</f>
        <v>34077812.010509029</v>
      </c>
      <c r="P16" s="1136">
        <f>DATE(YEAR(P18),MONTH(P18)-1,1)</f>
        <v>44652</v>
      </c>
      <c r="Q16" s="661"/>
      <c r="S16" s="660" t="s">
        <v>907</v>
      </c>
      <c r="T16" s="661" t="s">
        <v>879</v>
      </c>
      <c r="X16" s="97"/>
    </row>
    <row r="17" spans="2:24" ht="14.25">
      <c r="B17" s="1139" t="s">
        <v>908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760</v>
      </c>
      <c r="G17" s="1157">
        <f ca="1">SUM(G8:G16)</f>
        <v>54456929.489714921</v>
      </c>
      <c r="I17" s="226" t="str">
        <f>"Dado referente à "&amp;TEXT(P20,"mmmm/aaaa")</f>
        <v>Dado referente à junho/2022</v>
      </c>
      <c r="L17" s="79"/>
      <c r="P17" s="1133" t="s">
        <v>874</v>
      </c>
      <c r="Q17" s="1134"/>
      <c r="S17" s="1133" t="s">
        <v>876</v>
      </c>
      <c r="T17" s="1134"/>
      <c r="X17" s="97"/>
    </row>
    <row r="18" spans="2:24" ht="14.25">
      <c r="B18" s="1139" t="s">
        <v>909</v>
      </c>
      <c r="C18" s="1154">
        <f ca="1">DSUM(MercadoBase,"TUSD_E",INDIRECT("Mercado_Criterio"&amp;$B18))</f>
        <v>0</v>
      </c>
      <c r="D18" s="1155">
        <f ca="1">DSUM(MercadoBase,"Total",INDIRECT("Mercado_Criterio"&amp;$B18))</f>
        <v>0</v>
      </c>
      <c r="E18" s="96"/>
      <c r="I18" s="1158" t="s">
        <v>910</v>
      </c>
      <c r="J18" s="1159">
        <f>DSUM('BD MERCADO'!B2:BU724,"UC",C101:C102)</f>
        <v>12368</v>
      </c>
      <c r="L18" s="79"/>
      <c r="P18" s="1136">
        <f>DATE(YEAR(P20),MONTH(P20)-1,1)</f>
        <v>44682</v>
      </c>
      <c r="Q18" s="661"/>
      <c r="S18" s="660" t="s">
        <v>790</v>
      </c>
      <c r="T18" s="661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874</v>
      </c>
      <c r="Q19" s="1134"/>
      <c r="S19" s="1133" t="s">
        <v>876</v>
      </c>
      <c r="T19" s="1134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1"/>
      <c r="S20" s="660" t="s">
        <v>909</v>
      </c>
      <c r="T20" s="661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64684.44000000001</v>
      </c>
      <c r="E21" s="614"/>
      <c r="F21" s="615"/>
      <c r="G21" s="613"/>
      <c r="L21" s="79"/>
      <c r="P21" s="1133" t="s">
        <v>874</v>
      </c>
      <c r="Q21" s="1134"/>
      <c r="S21" s="1133" t="s">
        <v>876</v>
      </c>
      <c r="T21" s="1134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6"/>
      <c r="G22" s="617"/>
      <c r="L22" s="79"/>
      <c r="M22" s="100"/>
      <c r="N22" s="97"/>
      <c r="O22" s="97"/>
      <c r="P22" s="1136">
        <f>DATE(YEAR(P24),MONTH(P24)-1,1)</f>
        <v>44743</v>
      </c>
      <c r="Q22" s="661"/>
      <c r="S22" s="660" t="s">
        <v>752</v>
      </c>
      <c r="T22" s="661"/>
      <c r="X22" s="97"/>
    </row>
    <row r="23" spans="2:24" ht="14.25">
      <c r="B23" s="1139" t="s">
        <v>915</v>
      </c>
      <c r="C23" s="1154">
        <v>0</v>
      </c>
      <c r="D23" s="1155">
        <v>0</v>
      </c>
      <c r="E23" s="614"/>
      <c r="F23" s="616"/>
      <c r="G23" s="617"/>
      <c r="L23" s="79"/>
      <c r="M23" s="100"/>
      <c r="N23" s="97"/>
      <c r="O23" s="97"/>
      <c r="P23" s="1133" t="s">
        <v>874</v>
      </c>
      <c r="Q23" s="1134"/>
      <c r="S23" s="1133" t="s">
        <v>876</v>
      </c>
      <c r="T23" s="1134"/>
      <c r="X23" s="97"/>
    </row>
    <row r="24" spans="2:24" ht="14.25">
      <c r="B24" s="1139" t="s">
        <v>916</v>
      </c>
      <c r="C24" s="1160"/>
      <c r="D24" s="1161"/>
      <c r="E24" s="614"/>
      <c r="F24" s="616"/>
      <c r="G24" s="617"/>
      <c r="L24" s="79"/>
      <c r="P24" s="1136">
        <f>SAS_RA0_DataFim</f>
        <v>44774</v>
      </c>
      <c r="Q24" s="661"/>
      <c r="S24" s="660" t="s">
        <v>913</v>
      </c>
      <c r="T24" s="661"/>
      <c r="X24" s="97"/>
    </row>
    <row r="25" spans="2:24" ht="14.25">
      <c r="B25" s="1162" t="s">
        <v>760</v>
      </c>
      <c r="C25" s="1163">
        <f ca="1">C18+C8+C24+C20+C21+SuprimentoE</f>
        <v>91552.993000000031</v>
      </c>
      <c r="D25" s="1164">
        <f ca="1">D18+D8+D24+D20+D21+D17</f>
        <v>54457200.200000003</v>
      </c>
      <c r="E25" s="614"/>
      <c r="N25" s="69">
        <f>SUMIFS('BD MERCADO'!$P$3:$P$6000,'BD MERCADO'!$D$3:$D$6000,"A4",'BD MERCADO'!$I$3:$I$6000,U10)</f>
        <v>1276.5000000000002</v>
      </c>
      <c r="S25" s="101" t="s">
        <v>876</v>
      </c>
      <c r="T25" s="102"/>
      <c r="X25" s="97"/>
    </row>
    <row r="26" spans="2:24" ht="14.25">
      <c r="F26" s="616"/>
      <c r="G26" s="617"/>
      <c r="S26" s="660" t="s">
        <v>917</v>
      </c>
      <c r="T26" s="661"/>
      <c r="X26" s="97"/>
    </row>
    <row r="27" spans="2:24" ht="14.25">
      <c r="F27" s="616"/>
      <c r="G27" s="617"/>
      <c r="I27" s="97"/>
      <c r="S27" s="1165" t="s">
        <v>524</v>
      </c>
      <c r="T27" s="1166"/>
      <c r="X27" s="97"/>
    </row>
    <row r="28" spans="2:24" ht="14.25">
      <c r="F28" s="226"/>
      <c r="G28" s="618"/>
      <c r="I28" s="97"/>
      <c r="S28" s="1167" t="s">
        <v>889</v>
      </c>
      <c r="T28" s="1168"/>
      <c r="X28" s="97"/>
    </row>
    <row r="29" spans="2:24" ht="14.25">
      <c r="I29" s="97"/>
      <c r="S29" s="1165" t="s">
        <v>524</v>
      </c>
      <c r="T29" s="1166"/>
    </row>
    <row r="30" spans="2:24" ht="14.25">
      <c r="I30" s="97"/>
      <c r="S30" s="1167" t="s">
        <v>890</v>
      </c>
      <c r="T30" s="1168"/>
    </row>
    <row r="31" spans="2:24" ht="16.5">
      <c r="B31"/>
      <c r="C31"/>
      <c r="H31" s="97"/>
      <c r="I31" s="97"/>
      <c r="S31" s="1165" t="s">
        <v>524</v>
      </c>
      <c r="T31" s="1166"/>
      <c r="X31" s="97"/>
    </row>
    <row r="32" spans="2:24" ht="14.25">
      <c r="H32" s="97"/>
      <c r="I32" s="97"/>
      <c r="S32" s="1167" t="s">
        <v>918</v>
      </c>
      <c r="T32" s="1168"/>
      <c r="X32" s="97"/>
    </row>
    <row r="33" spans="2:24" ht="16.5">
      <c r="B33" s="1447" t="s">
        <v>919</v>
      </c>
      <c r="C33" s="1448" t="s">
        <v>920</v>
      </c>
      <c r="D33"/>
      <c r="S33" s="1165" t="s">
        <v>524</v>
      </c>
      <c r="T33" s="1166"/>
      <c r="X33" s="97"/>
    </row>
    <row r="34" spans="2:24" ht="16.5">
      <c r="B34" s="1449">
        <v>44287</v>
      </c>
      <c r="C34" s="1450">
        <v>1696.7640000000001</v>
      </c>
      <c r="D34"/>
      <c r="S34" s="1167" t="s">
        <v>894</v>
      </c>
      <c r="T34" s="1168"/>
      <c r="X34" s="97"/>
    </row>
    <row r="35" spans="2:24" ht="16.5">
      <c r="B35" s="1449">
        <v>44317</v>
      </c>
      <c r="C35" s="1450">
        <v>1488.3550000000002</v>
      </c>
      <c r="D35"/>
      <c r="S35" s="1165" t="s">
        <v>524</v>
      </c>
      <c r="T35" s="1166"/>
    </row>
    <row r="36" spans="2:24" ht="16.5">
      <c r="B36" s="1449">
        <v>44348</v>
      </c>
      <c r="C36" s="1450">
        <v>1528.0250000000001</v>
      </c>
      <c r="D36"/>
      <c r="M36" s="97"/>
      <c r="S36" s="1167" t="s">
        <v>896</v>
      </c>
      <c r="T36" s="1168"/>
    </row>
    <row r="37" spans="2:24" ht="16.5">
      <c r="B37" s="1449">
        <v>44378</v>
      </c>
      <c r="C37" s="1450">
        <v>1440.0370000000003</v>
      </c>
      <c r="D37"/>
      <c r="M37" s="97"/>
      <c r="S37" s="1165" t="s">
        <v>524</v>
      </c>
      <c r="T37" s="1166"/>
    </row>
    <row r="38" spans="2:24" ht="16.5">
      <c r="B38" s="1449">
        <v>44409</v>
      </c>
      <c r="C38" s="1450">
        <v>1402.0249999999999</v>
      </c>
      <c r="D38"/>
      <c r="M38" s="97"/>
      <c r="S38" s="1167" t="s">
        <v>899</v>
      </c>
      <c r="T38" s="1168"/>
    </row>
    <row r="39" spans="2:24" ht="16.5">
      <c r="B39" s="1449">
        <v>44440</v>
      </c>
      <c r="C39" s="1450">
        <v>1435.0720000000003</v>
      </c>
      <c r="D39"/>
      <c r="S39" s="1165" t="s">
        <v>524</v>
      </c>
      <c r="T39" s="1166"/>
    </row>
    <row r="40" spans="2:24" ht="16.5">
      <c r="B40" s="1449">
        <v>44470</v>
      </c>
      <c r="C40" s="1450">
        <v>1518.4860000000003</v>
      </c>
      <c r="D40"/>
      <c r="S40" s="1167" t="s">
        <v>921</v>
      </c>
      <c r="T40" s="1168"/>
    </row>
    <row r="41" spans="2:24" ht="16.5">
      <c r="B41" s="1449">
        <v>44501</v>
      </c>
      <c r="C41" s="1450">
        <v>1458.2800000000002</v>
      </c>
      <c r="D41"/>
      <c r="N41" s="97"/>
      <c r="O41" s="97"/>
      <c r="P41" s="97"/>
      <c r="Q41" s="97"/>
      <c r="R41" s="97"/>
      <c r="S41" s="1165" t="s">
        <v>524</v>
      </c>
      <c r="T41" s="1166"/>
    </row>
    <row r="42" spans="2:24" ht="16.5">
      <c r="B42" s="1449">
        <v>44531</v>
      </c>
      <c r="C42" s="1450">
        <v>1564.6979999999999</v>
      </c>
      <c r="D42"/>
      <c r="N42" s="97"/>
      <c r="O42" s="97"/>
      <c r="P42" s="97"/>
      <c r="Q42" s="97"/>
      <c r="R42" s="97"/>
      <c r="S42" s="1167" t="s">
        <v>922</v>
      </c>
      <c r="T42" s="1168"/>
    </row>
    <row r="43" spans="2:24" ht="16.5">
      <c r="B43" s="1449">
        <v>44562</v>
      </c>
      <c r="C43" s="1450">
        <v>1763.999</v>
      </c>
      <c r="D43"/>
      <c r="N43" s="97"/>
      <c r="O43" s="97"/>
      <c r="P43" s="97"/>
      <c r="Q43" s="97"/>
      <c r="R43" s="97"/>
      <c r="S43" s="1133" t="s">
        <v>875</v>
      </c>
      <c r="T43" s="1134" t="s">
        <v>876</v>
      </c>
    </row>
    <row r="44" spans="2:24" ht="16.5">
      <c r="B44" s="1449">
        <v>44593</v>
      </c>
      <c r="C44" s="1450">
        <v>1763.999</v>
      </c>
      <c r="D44"/>
      <c r="S44" s="660" t="s">
        <v>538</v>
      </c>
      <c r="T44" s="661" t="s">
        <v>909</v>
      </c>
    </row>
    <row r="45" spans="2:24" ht="16.5">
      <c r="B45" s="1449">
        <v>44621</v>
      </c>
      <c r="C45" s="1450">
        <v>1763.999</v>
      </c>
      <c r="D45"/>
      <c r="S45" s="1133" t="s">
        <v>875</v>
      </c>
      <c r="T45" s="1134" t="s">
        <v>876</v>
      </c>
    </row>
    <row r="46" spans="2:24" ht="16.5">
      <c r="B46" s="1449" t="s">
        <v>923</v>
      </c>
      <c r="C46" s="1450">
        <v>18823.739000000001</v>
      </c>
      <c r="D46"/>
      <c r="S46" s="660" t="s">
        <v>535</v>
      </c>
      <c r="T46" s="661" t="s">
        <v>909</v>
      </c>
    </row>
    <row r="47" spans="2:24" ht="16.5">
      <c r="B47"/>
      <c r="C47"/>
      <c r="D47"/>
      <c r="S47" s="1133" t="s">
        <v>875</v>
      </c>
      <c r="T47" s="1134" t="s">
        <v>876</v>
      </c>
    </row>
    <row r="48" spans="2:24" ht="16.5">
      <c r="B48"/>
      <c r="C48"/>
      <c r="D48"/>
      <c r="S48" s="660" t="s">
        <v>537</v>
      </c>
      <c r="T48" s="661" t="s">
        <v>909</v>
      </c>
    </row>
    <row r="49" spans="2:21" ht="16.5">
      <c r="B49"/>
      <c r="C49"/>
      <c r="D49"/>
      <c r="S49" s="1133" t="s">
        <v>875</v>
      </c>
      <c r="T49" s="1134" t="s">
        <v>876</v>
      </c>
    </row>
    <row r="50" spans="2:21" ht="16.5">
      <c r="B50"/>
      <c r="C50"/>
      <c r="D50"/>
      <c r="S50" s="660" t="s">
        <v>533</v>
      </c>
      <c r="T50" s="661" t="s">
        <v>909</v>
      </c>
    </row>
    <row r="51" spans="2:21" ht="16.5">
      <c r="B51"/>
      <c r="C51"/>
      <c r="S51" s="1133" t="s">
        <v>875</v>
      </c>
      <c r="T51" s="1134" t="s">
        <v>876</v>
      </c>
    </row>
    <row r="52" spans="2:21" ht="16.5">
      <c r="B52"/>
      <c r="C52"/>
      <c r="S52" s="660" t="s">
        <v>880</v>
      </c>
      <c r="T52" s="661" t="s">
        <v>909</v>
      </c>
    </row>
    <row r="53" spans="2:21" ht="16.5">
      <c r="B53"/>
      <c r="C53"/>
      <c r="S53" s="1133" t="s">
        <v>875</v>
      </c>
      <c r="T53" s="1134" t="s">
        <v>876</v>
      </c>
    </row>
    <row r="54" spans="2:21" ht="14.25">
      <c r="S54" s="660" t="s">
        <v>897</v>
      </c>
      <c r="T54" s="661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9" t="s">
        <v>925</v>
      </c>
      <c r="C62" s="1169"/>
      <c r="D62" s="1169" t="s">
        <v>888</v>
      </c>
      <c r="E62" s="1169" t="s">
        <v>49</v>
      </c>
      <c r="F62" s="1169" t="s">
        <v>891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926</v>
      </c>
      <c r="L62" s="1169" t="s">
        <v>927</v>
      </c>
      <c r="M62" s="1169" t="s">
        <v>928</v>
      </c>
      <c r="N62" s="1169" t="s">
        <v>929</v>
      </c>
      <c r="O62" s="1169" t="s">
        <v>930</v>
      </c>
      <c r="P62" s="1169" t="s">
        <v>931</v>
      </c>
      <c r="Q62" s="1169" t="s">
        <v>932</v>
      </c>
      <c r="R62" s="1169" t="s">
        <v>933</v>
      </c>
      <c r="S62" s="1169" t="s">
        <v>2029</v>
      </c>
      <c r="T62" s="1169" t="s">
        <v>1053</v>
      </c>
      <c r="U62" s="1169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71774.061576153646</v>
      </c>
      <c r="H63" s="103">
        <f t="shared" ca="1" si="4"/>
        <v>442756.11894009035</v>
      </c>
      <c r="I63" s="103">
        <f t="shared" ca="1" si="4"/>
        <v>8490.914792277099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8255.2268879999992</v>
      </c>
      <c r="O63" s="103">
        <f t="shared" ca="1" si="4"/>
        <v>222307.88839039995</v>
      </c>
      <c r="P63" s="103">
        <f t="shared" ca="1" si="4"/>
        <v>5033.4677079999992</v>
      </c>
      <c r="Q63" s="103">
        <f t="shared" ca="1" si="4"/>
        <v>770.25222999999983</v>
      </c>
      <c r="R63" s="103">
        <f t="shared" ca="1" si="4"/>
        <v>2008419.6568286456</v>
      </c>
      <c r="S63" s="103">
        <f ca="1">DSUM(MercadoBase,S$62,INDIRECT("P"&amp;5+2*(ROW()-65)&amp;":P"&amp;6+2*(ROW()-65)))</f>
        <v>0</v>
      </c>
      <c r="T63" s="103">
        <f t="shared" ca="1" si="4"/>
        <v>-867676.22320205788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69251.532329779729</v>
      </c>
      <c r="H64" s="103">
        <f t="shared" ca="1" si="4"/>
        <v>427531.34185668017</v>
      </c>
      <c r="I64" s="103">
        <f t="shared" ca="1" si="4"/>
        <v>8227.0513419868003</v>
      </c>
      <c r="J64" s="103">
        <f t="shared" ca="1" si="4"/>
        <v>0</v>
      </c>
      <c r="K64" s="103">
        <f t="shared" ca="1" si="4"/>
        <v>0</v>
      </c>
      <c r="L64" s="103">
        <f t="shared" ca="1" si="4"/>
        <v>1531.665</v>
      </c>
      <c r="M64" s="103">
        <f t="shared" ca="1" si="4"/>
        <v>0</v>
      </c>
      <c r="N64" s="103">
        <f t="shared" ca="1" si="4"/>
        <v>8350.6813734000007</v>
      </c>
      <c r="O64" s="103">
        <f t="shared" ca="1" si="4"/>
        <v>215177.99344079994</v>
      </c>
      <c r="P64" s="103">
        <f t="shared" ca="1" si="4"/>
        <v>4029.8642440000008</v>
      </c>
      <c r="Q64" s="103">
        <f t="shared" ca="1" si="4"/>
        <v>813.99725999999987</v>
      </c>
      <c r="R64" s="103">
        <f t="shared" ca="1" si="4"/>
        <v>1978943.2130630435</v>
      </c>
      <c r="S64" s="103">
        <f t="shared" ca="1" si="4"/>
        <v>0</v>
      </c>
      <c r="T64" s="103">
        <f t="shared" ca="1" si="4"/>
        <v>-854941.82812033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70114.256250827166</v>
      </c>
      <c r="H65" s="103">
        <f t="shared" ca="1" si="4"/>
        <v>432611.04607050313</v>
      </c>
      <c r="I65" s="103">
        <f t="shared" ca="1" si="4"/>
        <v>8305.4195906868626</v>
      </c>
      <c r="J65" s="103">
        <f t="shared" ca="1" si="4"/>
        <v>0</v>
      </c>
      <c r="K65" s="103">
        <f t="shared" ca="1" si="4"/>
        <v>0</v>
      </c>
      <c r="L65" s="103">
        <f t="shared" ca="1" si="4"/>
        <v>1531.665</v>
      </c>
      <c r="M65" s="103">
        <f t="shared" ca="1" si="4"/>
        <v>0</v>
      </c>
      <c r="N65" s="103">
        <f t="shared" ca="1" si="4"/>
        <v>8286.3762467999968</v>
      </c>
      <c r="O65" s="103">
        <f t="shared" ca="1" si="4"/>
        <v>217646.72758080001</v>
      </c>
      <c r="P65" s="103">
        <f t="shared" ca="1" si="4"/>
        <v>5099.9715519999991</v>
      </c>
      <c r="Q65" s="103">
        <f t="shared" ca="1" si="4"/>
        <v>890.00363999999979</v>
      </c>
      <c r="R65" s="103">
        <f t="shared" ca="1" si="4"/>
        <v>1986338.4687151182</v>
      </c>
      <c r="S65" s="103">
        <f t="shared" ca="1" si="4"/>
        <v>0</v>
      </c>
      <c r="T65" s="103">
        <f t="shared" ca="1" si="4"/>
        <v>-858136.72191256506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69839.30992854631</v>
      </c>
      <c r="H66" s="103">
        <f t="shared" ca="1" si="4"/>
        <v>433104.55308729777</v>
      </c>
      <c r="I66" s="103">
        <f t="shared" ca="1" si="4"/>
        <v>8492.420115849709</v>
      </c>
      <c r="J66" s="103">
        <f t="shared" ca="1" si="4"/>
        <v>0</v>
      </c>
      <c r="K66" s="103">
        <f t="shared" ca="1" si="4"/>
        <v>0</v>
      </c>
      <c r="L66" s="103">
        <f t="shared" ca="1" si="4"/>
        <v>1531.665</v>
      </c>
      <c r="M66" s="103">
        <f t="shared" ca="1" si="4"/>
        <v>0</v>
      </c>
      <c r="N66" s="103">
        <f t="shared" ca="1" si="4"/>
        <v>8636.5553489999984</v>
      </c>
      <c r="O66" s="103">
        <f t="shared" ca="1" si="4"/>
        <v>210011.09410480002</v>
      </c>
      <c r="P66" s="103">
        <f t="shared" ca="1" si="4"/>
        <v>5713.28478</v>
      </c>
      <c r="Q66" s="103">
        <f t="shared" ca="1" si="4"/>
        <v>894.65904999999975</v>
      </c>
      <c r="R66" s="103">
        <f t="shared" ca="1" si="4"/>
        <v>2087996.6780555313</v>
      </c>
      <c r="S66" s="103">
        <f t="shared" ca="1" si="4"/>
        <v>0</v>
      </c>
      <c r="T66" s="103">
        <f t="shared" ca="1" si="4"/>
        <v>-902055.03890277806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79403.873034031829</v>
      </c>
      <c r="H67" s="103">
        <f t="shared" ca="1" si="4"/>
        <v>493319.39731118339</v>
      </c>
      <c r="I67" s="103">
        <f t="shared" ca="1" si="4"/>
        <v>9742.2900528621376</v>
      </c>
      <c r="J67" s="103">
        <f t="shared" ca="1" si="4"/>
        <v>0</v>
      </c>
      <c r="K67" s="103">
        <f t="shared" ca="1" si="4"/>
        <v>0</v>
      </c>
      <c r="L67" s="103">
        <f t="shared" ca="1" si="4"/>
        <v>1531.665</v>
      </c>
      <c r="M67" s="103">
        <f t="shared" ca="1" si="4"/>
        <v>0</v>
      </c>
      <c r="N67" s="103">
        <f t="shared" ca="1" si="4"/>
        <v>8214.3695856000031</v>
      </c>
      <c r="O67" s="103">
        <f t="shared" ca="1" si="4"/>
        <v>256365.29123439998</v>
      </c>
      <c r="P67" s="103">
        <f t="shared" ca="1" si="4"/>
        <v>8548.0950999999986</v>
      </c>
      <c r="Q67" s="103">
        <f t="shared" ca="1" si="4"/>
        <v>912.97172999999987</v>
      </c>
      <c r="R67" s="103">
        <f t="shared" ca="1" si="4"/>
        <v>2382680.9484459301</v>
      </c>
      <c r="S67" s="103">
        <f t="shared" ca="1" si="4"/>
        <v>0</v>
      </c>
      <c r="T67" s="103">
        <f t="shared" ca="1" si="4"/>
        <v>-1029364.3559073415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78450.144256298998</v>
      </c>
      <c r="H68" s="103">
        <f t="shared" ca="1" si="4"/>
        <v>487605.16535256576</v>
      </c>
      <c r="I68" s="103">
        <f t="shared" ca="1" si="4"/>
        <v>9654.1389904483258</v>
      </c>
      <c r="J68" s="103">
        <f t="shared" ca="1" si="4"/>
        <v>0</v>
      </c>
      <c r="K68" s="103">
        <f t="shared" ca="1" si="4"/>
        <v>0</v>
      </c>
      <c r="L68" s="103">
        <f t="shared" ca="1" si="4"/>
        <v>1531.665</v>
      </c>
      <c r="M68" s="103">
        <f t="shared" ca="1" si="4"/>
        <v>0</v>
      </c>
      <c r="N68" s="103">
        <f t="shared" ca="1" si="4"/>
        <v>7755.7485954000003</v>
      </c>
      <c r="O68" s="103">
        <f t="shared" ca="1" si="4"/>
        <v>250201.09445199996</v>
      </c>
      <c r="P68" s="103">
        <f t="shared" ca="1" si="4"/>
        <v>7513.9267380000001</v>
      </c>
      <c r="Q68" s="103">
        <f t="shared" ca="1" si="4"/>
        <v>1721.5342699999994</v>
      </c>
      <c r="R68" s="103">
        <f t="shared" ca="1" si="4"/>
        <v>2342562.9458072516</v>
      </c>
      <c r="S68" s="103">
        <f t="shared" ca="1" si="4"/>
        <v>0</v>
      </c>
      <c r="T68" s="103">
        <f t="shared" ca="1" si="4"/>
        <v>-1012032.6011151659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75776.570562302033</v>
      </c>
      <c r="H69" s="103">
        <f t="shared" ca="1" si="4"/>
        <v>467896.16551651142</v>
      </c>
      <c r="I69" s="103">
        <f t="shared" ca="1" si="4"/>
        <v>9019.0112127746961</v>
      </c>
      <c r="J69" s="103">
        <f t="shared" ca="1" si="4"/>
        <v>0</v>
      </c>
      <c r="K69" s="103">
        <f t="shared" ca="1" si="4"/>
        <v>0</v>
      </c>
      <c r="L69" s="103">
        <f t="shared" ca="1" si="4"/>
        <v>1531.665</v>
      </c>
      <c r="M69" s="103">
        <f t="shared" ca="1" si="4"/>
        <v>0</v>
      </c>
      <c r="N69" s="103">
        <f t="shared" ca="1" si="4"/>
        <v>8248.1412144000042</v>
      </c>
      <c r="O69" s="103">
        <f t="shared" ca="1" si="4"/>
        <v>220798.8532824</v>
      </c>
      <c r="P69" s="103">
        <f t="shared" ca="1" si="4"/>
        <v>6276.2163079999991</v>
      </c>
      <c r="Q69" s="103">
        <f t="shared" ca="1" si="4"/>
        <v>1754.4624099999996</v>
      </c>
      <c r="R69" s="103">
        <f t="shared" ca="1" si="4"/>
        <v>2167569.155001896</v>
      </c>
      <c r="S69" s="103">
        <f t="shared" ca="1" si="4"/>
        <v>0</v>
      </c>
      <c r="T69" s="103">
        <f t="shared" ca="1" si="4"/>
        <v>-936431.89138622524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68902.675140873238</v>
      </c>
      <c r="H70" s="103">
        <f t="shared" ca="1" si="4"/>
        <v>425155.58626041381</v>
      </c>
      <c r="I70" s="103">
        <f t="shared" ca="1" si="4"/>
        <v>8187.3089924666729</v>
      </c>
      <c r="J70" s="103">
        <f t="shared" ca="1" si="4"/>
        <v>0</v>
      </c>
      <c r="K70" s="103">
        <f t="shared" ca="1" si="4"/>
        <v>0</v>
      </c>
      <c r="L70" s="103">
        <f t="shared" ca="1" si="4"/>
        <v>1531.665</v>
      </c>
      <c r="M70" s="103">
        <f t="shared" ca="1" si="4"/>
        <v>0</v>
      </c>
      <c r="N70" s="103">
        <f t="shared" ca="1" si="4"/>
        <v>8372.3230499999991</v>
      </c>
      <c r="O70" s="103">
        <f t="shared" ca="1" si="4"/>
        <v>196614.25688400006</v>
      </c>
      <c r="P70" s="103">
        <f t="shared" ca="1" si="4"/>
        <v>4665.3454199999996</v>
      </c>
      <c r="Q70" s="103">
        <f t="shared" ca="1" si="4"/>
        <v>3026.1198399999994</v>
      </c>
      <c r="R70" s="103">
        <f t="shared" ca="1" si="4"/>
        <v>1992185.8742334463</v>
      </c>
      <c r="S70" s="103">
        <f t="shared" ca="1" si="4"/>
        <v>0</v>
      </c>
      <c r="T70" s="103">
        <f t="shared" ca="1" si="4"/>
        <v>-860662.91444330604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67184.592631871899</v>
      </c>
      <c r="H71" s="103">
        <f t="shared" ca="1" si="4"/>
        <v>412444.75855785992</v>
      </c>
      <c r="I71" s="103">
        <f t="shared" ca="1" si="4"/>
        <v>7773.468757336921</v>
      </c>
      <c r="J71" s="103">
        <f t="shared" ca="1" si="4"/>
        <v>0</v>
      </c>
      <c r="K71" s="103">
        <f t="shared" ca="1" si="4"/>
        <v>0</v>
      </c>
      <c r="L71" s="103">
        <f t="shared" ca="1" si="4"/>
        <v>1531.665</v>
      </c>
      <c r="M71" s="103">
        <f t="shared" ca="1" si="4"/>
        <v>0</v>
      </c>
      <c r="N71" s="103">
        <f t="shared" ca="1" si="4"/>
        <v>7966.3021223999986</v>
      </c>
      <c r="O71" s="103">
        <f t="shared" ca="1" si="4"/>
        <v>175765.19118959995</v>
      </c>
      <c r="P71" s="103">
        <f t="shared" ca="1" si="4"/>
        <v>2331.3291979999999</v>
      </c>
      <c r="Q71" s="103">
        <f t="shared" ca="1" si="4"/>
        <v>3057.0711789999996</v>
      </c>
      <c r="R71" s="103">
        <f t="shared" ca="1" si="4"/>
        <v>1927440.9645512826</v>
      </c>
      <c r="S71" s="103">
        <f t="shared" ca="1" si="4"/>
        <v>0</v>
      </c>
      <c r="T71" s="103">
        <f t="shared" ca="1" si="4"/>
        <v>-832691.85843736958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68211.546452589653</v>
      </c>
      <c r="H72" s="103">
        <f t="shared" ca="1" si="4"/>
        <v>418998.73530022992</v>
      </c>
      <c r="I72" s="103">
        <f t="shared" ca="1" si="4"/>
        <v>7918.4770368869567</v>
      </c>
      <c r="J72" s="103">
        <f t="shared" ca="1" si="4"/>
        <v>0</v>
      </c>
      <c r="K72" s="103">
        <f t="shared" ca="1" si="4"/>
        <v>0</v>
      </c>
      <c r="L72" s="103">
        <f t="shared" ca="1" si="4"/>
        <v>1531.665</v>
      </c>
      <c r="M72" s="103">
        <f t="shared" ca="1" si="4"/>
        <v>0</v>
      </c>
      <c r="N72" s="103">
        <f t="shared" ca="1" si="4"/>
        <v>7938.7080066000035</v>
      </c>
      <c r="O72" s="103">
        <f t="shared" ca="1" si="4"/>
        <v>179770.22236320004</v>
      </c>
      <c r="P72" s="103">
        <f t="shared" ca="1" si="4"/>
        <v>2177.4970739999999</v>
      </c>
      <c r="Q72" s="103">
        <f t="shared" ca="1" si="4"/>
        <v>3107.2476199999996</v>
      </c>
      <c r="R72" s="103">
        <f t="shared" ca="1" si="4"/>
        <v>1970170.8486684416</v>
      </c>
      <c r="S72" s="103">
        <f t="shared" ca="1" si="4"/>
        <v>0</v>
      </c>
      <c r="T72" s="103">
        <f t="shared" ca="1" si="4"/>
        <v>-851151.99665727827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66737.669229738589</v>
      </c>
      <c r="H73" s="103">
        <f t="shared" ca="1" si="4"/>
        <v>409794.16387053748</v>
      </c>
      <c r="I73" s="103">
        <f t="shared" ca="1" si="4"/>
        <v>7729.2336895788003</v>
      </c>
      <c r="J73" s="103">
        <f t="shared" ca="1" si="4"/>
        <v>0</v>
      </c>
      <c r="K73" s="103">
        <f t="shared" ca="1" si="4"/>
        <v>0</v>
      </c>
      <c r="L73" s="103">
        <f t="shared" ca="1" si="4"/>
        <v>1531.665</v>
      </c>
      <c r="M73" s="103">
        <f t="shared" ca="1" si="4"/>
        <v>0</v>
      </c>
      <c r="N73" s="103">
        <f t="shared" ca="1" si="4"/>
        <v>8161.0670753999966</v>
      </c>
      <c r="O73" s="103">
        <f t="shared" ca="1" si="4"/>
        <v>174854.25346400001</v>
      </c>
      <c r="P73" s="103">
        <f t="shared" ca="1" si="4"/>
        <v>1718.3518479999998</v>
      </c>
      <c r="Q73" s="103">
        <f t="shared" ca="1" si="4"/>
        <v>2826.1800599999992</v>
      </c>
      <c r="R73" s="103">
        <f t="shared" ca="1" si="4"/>
        <v>1966974.5914762649</v>
      </c>
      <c r="S73" s="103">
        <f t="shared" ca="1" si="4"/>
        <v>0</v>
      </c>
      <c r="T73" s="103">
        <f t="shared" ca="1" si="4"/>
        <v>-849771.15159361798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67754.781809581866</v>
      </c>
      <c r="H74" s="103">
        <f t="shared" ca="1" si="4"/>
        <v>415046.84801741259</v>
      </c>
      <c r="I74" s="103">
        <f t="shared" ca="1" si="4"/>
        <v>7747.5677011900307</v>
      </c>
      <c r="J74" s="103">
        <f t="shared" ca="1" si="4"/>
        <v>0</v>
      </c>
      <c r="K74" s="103">
        <f t="shared" ca="1" si="4"/>
        <v>0</v>
      </c>
      <c r="L74" s="103">
        <f t="shared" ca="1" si="4"/>
        <v>1531.665</v>
      </c>
      <c r="M74" s="103">
        <f t="shared" ca="1" si="4"/>
        <v>0</v>
      </c>
      <c r="N74" s="103">
        <f t="shared" ca="1" si="4"/>
        <v>8262.1943039999969</v>
      </c>
      <c r="O74" s="103">
        <f t="shared" ca="1" si="4"/>
        <v>174616.7653536</v>
      </c>
      <c r="P74" s="103">
        <f t="shared" ca="1" si="4"/>
        <v>1940.703084</v>
      </c>
      <c r="Q74" s="103">
        <f t="shared" ca="1" si="4"/>
        <v>2852.4070699999993</v>
      </c>
      <c r="R74" s="103">
        <f t="shared" ca="1" si="4"/>
        <v>1978031.3649620067</v>
      </c>
      <c r="S74" s="103">
        <f t="shared" ca="1" si="4"/>
        <v>0</v>
      </c>
      <c r="T74" s="103">
        <f t="shared" ca="1" si="4"/>
        <v>-854547.89206530701</v>
      </c>
      <c r="U74" s="103">
        <f t="shared" ca="1" si="4"/>
        <v>0</v>
      </c>
    </row>
    <row r="75" spans="2:21" ht="14.25">
      <c r="B75" s="1170" t="s">
        <v>934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0</v>
      </c>
      <c r="G75" s="1171">
        <f t="shared" ca="1" si="5"/>
        <v>853401.01320259506</v>
      </c>
      <c r="H75" s="1171">
        <f t="shared" ca="1" si="5"/>
        <v>5266263.8801412862</v>
      </c>
      <c r="I75" s="1171">
        <f t="shared" ca="1" si="5"/>
        <v>101287.302274345</v>
      </c>
      <c r="J75" s="1171">
        <f t="shared" ca="1" si="5"/>
        <v>0</v>
      </c>
      <c r="K75" s="1171">
        <f t="shared" ca="1" si="5"/>
        <v>0</v>
      </c>
      <c r="L75" s="1171">
        <f t="shared" ca="1" si="5"/>
        <v>16848.315000000002</v>
      </c>
      <c r="M75" s="1171">
        <f t="shared" ca="1" si="5"/>
        <v>0</v>
      </c>
      <c r="N75" s="1171">
        <f t="shared" ca="1" si="5"/>
        <v>98447.693811000005</v>
      </c>
      <c r="O75" s="1171">
        <f t="shared" ca="1" si="5"/>
        <v>2494129.6317399996</v>
      </c>
      <c r="P75" s="1171">
        <f t="shared" ca="1" si="5"/>
        <v>55048.053053999996</v>
      </c>
      <c r="Q75" s="1171">
        <f t="shared" ca="1" si="5"/>
        <v>22626.906358999993</v>
      </c>
      <c r="R75" s="1171">
        <f t="shared" ref="R75:S75" ca="1" si="6">SUM(R63:R74)</f>
        <v>24789314.709808856</v>
      </c>
      <c r="S75" s="1171">
        <f t="shared" ca="1" si="6"/>
        <v>0</v>
      </c>
      <c r="T75" s="1171">
        <f t="shared" ref="T75:U75" ca="1" si="7">SUM(T63:T74)</f>
        <v>-10709464.473743342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937</v>
      </c>
      <c r="C79" s="1174">
        <f t="shared" ref="C79:C84" ca="1" si="8">SUM(INDIRECT("dados_MercadoBase["&amp;B79&amp;"]"))</f>
        <v>12878994.508486966</v>
      </c>
      <c r="J79" s="94" t="s">
        <v>938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1279170.7751006954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943</v>
      </c>
      <c r="C87" s="1174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9288497.3007001765</v>
      </c>
      <c r="E96" s="105"/>
      <c r="G96" s="105"/>
    </row>
    <row r="97" spans="1:7" ht="14.25">
      <c r="B97" s="1176" t="s">
        <v>953</v>
      </c>
      <c r="C97" s="1177">
        <f t="shared" ca="1" si="9"/>
        <v>24789314.709808856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5" t="s">
        <v>955</v>
      </c>
      <c r="C101" s="1166" t="s">
        <v>874</v>
      </c>
      <c r="D101" s="230"/>
    </row>
    <row r="102" spans="1:7" ht="12.75" customHeight="1">
      <c r="A102" s="230"/>
      <c r="B102" s="1167" t="s">
        <v>956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7" t="s">
        <v>778</v>
      </c>
      <c r="C111" s="1137" t="s">
        <v>108</v>
      </c>
      <c r="D111" s="1137" t="s">
        <v>884</v>
      </c>
    </row>
    <row r="112" spans="1:7" ht="12.75" customHeight="1">
      <c r="B112" s="1139" t="s">
        <v>909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769</v>
      </c>
      <c r="C120" s="1163">
        <f ca="1">SUM(C114:C119)</f>
        <v>0</v>
      </c>
      <c r="D120" s="1164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K1" zoomScaleNormal="100" workbookViewId="0">
      <pane ySplit="2" topLeftCell="A3" activePane="bottomLeft" state="frozen"/>
      <selection pane="bottomLeft" activeCell="L1" sqref="L1:Q1048576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89"/>
      <c r="S1" s="489"/>
      <c r="T1" s="489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2329</v>
      </c>
      <c r="K3" s="789">
        <v>44440</v>
      </c>
      <c r="L3" s="399">
        <v>0</v>
      </c>
      <c r="M3" s="399">
        <v>0</v>
      </c>
      <c r="N3" s="399">
        <v>753.95</v>
      </c>
      <c r="O3" s="399">
        <v>753.95</v>
      </c>
      <c r="P3" s="399">
        <v>753.95</v>
      </c>
      <c r="Q3" s="399">
        <v>753.95</v>
      </c>
      <c r="R3" s="399"/>
      <c r="S3" s="399">
        <v>521.86</v>
      </c>
      <c r="T3" s="399">
        <v>141.32</v>
      </c>
      <c r="U3" s="399"/>
      <c r="V3" s="399">
        <v>500004.56099999999</v>
      </c>
      <c r="W3" s="399">
        <v>500004.56099999999</v>
      </c>
      <c r="X3" s="399">
        <v>390794.90350000001</v>
      </c>
      <c r="Y3" s="399">
        <v>0</v>
      </c>
      <c r="Z3" s="399">
        <v>45747.456187992349</v>
      </c>
      <c r="AA3" s="399">
        <v>0</v>
      </c>
      <c r="AB3" s="399">
        <v>0</v>
      </c>
      <c r="AC3" s="399">
        <v>0</v>
      </c>
      <c r="AD3" s="399">
        <v>81090.189186222357</v>
      </c>
      <c r="AE3" s="399">
        <v>244996.65178321928</v>
      </c>
      <c r="AF3" s="399">
        <v>106547.40729761586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7073.5531315076514</v>
      </c>
      <c r="AM3" s="399"/>
      <c r="AN3" s="399">
        <v>1045.6281360065418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13499.397855390962</v>
      </c>
      <c r="BH3" s="399">
        <v>0</v>
      </c>
      <c r="BI3" s="399">
        <v>3161.03</v>
      </c>
      <c r="BJ3" s="399">
        <v>14683.77</v>
      </c>
      <c r="BK3" s="399">
        <v>99217.64</v>
      </c>
      <c r="BL3" s="399">
        <v>4009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120046.80515300683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390794.90350000001</v>
      </c>
      <c r="CJ3" s="399">
        <v>-109209.6875</v>
      </c>
      <c r="CK3" s="399"/>
      <c r="CL3" s="399"/>
      <c r="CM3" s="399"/>
      <c r="CN3" s="399"/>
      <c r="CO3" s="399">
        <v>-109209.65750000003</v>
      </c>
      <c r="CP3" s="399">
        <v>0</v>
      </c>
      <c r="CQ3" s="399">
        <v>30</v>
      </c>
      <c r="CR3" s="399">
        <v>-3359.4031820149103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-386.20849960764463</v>
      </c>
      <c r="DA3" s="399">
        <v>0</v>
      </c>
      <c r="DB3" s="399">
        <v>0</v>
      </c>
      <c r="DC3" s="399">
        <v>0</v>
      </c>
      <c r="DD3" s="399">
        <v>0</v>
      </c>
      <c r="DE3" s="399">
        <v>0</v>
      </c>
      <c r="DF3" s="399">
        <v>0</v>
      </c>
      <c r="DG3" s="399">
        <v>0</v>
      </c>
      <c r="DH3" s="399">
        <v>0</v>
      </c>
      <c r="DI3" s="399">
        <v>-2577.5791785337642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-353.45273473953057</v>
      </c>
      <c r="DP3" s="399">
        <v>-42.16276913396689</v>
      </c>
      <c r="DQ3" s="399">
        <v>0</v>
      </c>
      <c r="DR3" s="399">
        <v>0</v>
      </c>
      <c r="DS3" s="399"/>
      <c r="DT3" s="399"/>
      <c r="DU3" s="399"/>
      <c r="DV3" s="399">
        <v>244996.65178321928</v>
      </c>
      <c r="DW3" s="399">
        <v>0</v>
      </c>
      <c r="DX3" s="399">
        <v>0</v>
      </c>
      <c r="DY3" s="399">
        <v>-109209.65749999997</v>
      </c>
      <c r="DZ3" s="399">
        <v>0</v>
      </c>
      <c r="EA3" s="399">
        <v>0</v>
      </c>
      <c r="EB3" s="399">
        <v>0</v>
      </c>
      <c r="EC3" s="399">
        <v>-105843.30261539065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218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2360</v>
      </c>
      <c r="C4" s="399" t="s">
        <v>2328</v>
      </c>
      <c r="D4" s="399" t="s">
        <v>1823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2329</v>
      </c>
      <c r="K4" s="789">
        <v>44440</v>
      </c>
      <c r="L4" s="399">
        <v>0</v>
      </c>
      <c r="M4" s="399">
        <v>0</v>
      </c>
      <c r="N4" s="399">
        <v>-0.61199999999999999</v>
      </c>
      <c r="O4" s="399">
        <v>-0.61199999999999999</v>
      </c>
      <c r="P4" s="399">
        <v>-0.61199999999999999</v>
      </c>
      <c r="Q4" s="399">
        <v>-0.61199999999999999</v>
      </c>
      <c r="R4" s="399"/>
      <c r="S4" s="399">
        <v>521.86</v>
      </c>
      <c r="T4" s="399">
        <v>141.32</v>
      </c>
      <c r="U4" s="399"/>
      <c r="V4" s="399">
        <v>-405.86616000000004</v>
      </c>
      <c r="W4" s="399">
        <v>-405.86616000000004</v>
      </c>
      <c r="X4" s="399">
        <v>-317.21796000000001</v>
      </c>
      <c r="Y4" s="399">
        <v>0</v>
      </c>
      <c r="Z4" s="399">
        <v>-37.134350006036627</v>
      </c>
      <c r="AA4" s="399">
        <v>0</v>
      </c>
      <c r="AB4" s="399">
        <v>0</v>
      </c>
      <c r="AC4" s="399">
        <v>0</v>
      </c>
      <c r="AD4" s="399">
        <v>-65.822926960631449</v>
      </c>
      <c r="AE4" s="399">
        <v>-198.86988645312047</v>
      </c>
      <c r="AF4" s="399">
        <v>-86.487185179575434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-5.7417793175710354</v>
      </c>
      <c r="AM4" s="399"/>
      <c r="AN4" s="399">
        <v>-0.84876241028715893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-10.957797582729979</v>
      </c>
      <c r="BH4" s="399">
        <v>0</v>
      </c>
      <c r="BI4" s="399">
        <v>-3.35</v>
      </c>
      <c r="BJ4" s="399">
        <v>-15.4</v>
      </c>
      <c r="BK4" s="399">
        <v>-123.65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-97.444982762305415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-316.18129999999996</v>
      </c>
      <c r="CJ4" s="399">
        <v>89.654860000000099</v>
      </c>
      <c r="CK4" s="399"/>
      <c r="CL4" s="399"/>
      <c r="CM4" s="399"/>
      <c r="CN4" s="399"/>
      <c r="CO4" s="399">
        <v>88.648200000000017</v>
      </c>
      <c r="CP4" s="399">
        <v>0</v>
      </c>
      <c r="CQ4" s="399">
        <v>30</v>
      </c>
      <c r="CR4" s="399">
        <v>2.7269112638677768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0.31349506168828611</v>
      </c>
      <c r="DA4" s="399">
        <v>0</v>
      </c>
      <c r="DB4" s="399">
        <v>0</v>
      </c>
      <c r="DC4" s="399">
        <v>0</v>
      </c>
      <c r="DD4" s="399">
        <v>0</v>
      </c>
      <c r="DE4" s="399">
        <v>0</v>
      </c>
      <c r="DF4" s="399">
        <v>0</v>
      </c>
      <c r="DG4" s="399">
        <v>0</v>
      </c>
      <c r="DH4" s="399">
        <v>0</v>
      </c>
      <c r="DI4" s="399">
        <v>2.0922852407489358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0.28690639122036288</v>
      </c>
      <c r="DP4" s="399">
        <v>3.4224570210209748E-2</v>
      </c>
      <c r="DQ4" s="399">
        <v>0</v>
      </c>
      <c r="DR4" s="399">
        <v>0</v>
      </c>
      <c r="DS4" s="399"/>
      <c r="DT4" s="399"/>
      <c r="DU4" s="399"/>
      <c r="DV4" s="399">
        <v>-198.86988645312047</v>
      </c>
      <c r="DW4" s="399">
        <v>0</v>
      </c>
      <c r="DX4" s="399">
        <v>0</v>
      </c>
      <c r="DY4" s="399">
        <v>88.648200000000031</v>
      </c>
      <c r="DZ4" s="399">
        <v>0</v>
      </c>
      <c r="EA4" s="399">
        <v>0</v>
      </c>
      <c r="EB4" s="399">
        <v>0</v>
      </c>
      <c r="EC4" s="399">
        <v>85.915645865931523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218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2361</v>
      </c>
      <c r="C5" s="399" t="s">
        <v>2328</v>
      </c>
      <c r="D5" s="399" t="s">
        <v>1823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2329</v>
      </c>
      <c r="K5" s="789">
        <v>44440</v>
      </c>
      <c r="L5" s="399">
        <v>0</v>
      </c>
      <c r="M5" s="399">
        <v>0</v>
      </c>
      <c r="N5" s="399">
        <v>10.151</v>
      </c>
      <c r="O5" s="399">
        <v>10.151</v>
      </c>
      <c r="P5" s="399">
        <v>10.151</v>
      </c>
      <c r="Q5" s="399">
        <v>10.151</v>
      </c>
      <c r="R5" s="399"/>
      <c r="S5" s="399">
        <v>521.86</v>
      </c>
      <c r="T5" s="399">
        <v>141.32</v>
      </c>
      <c r="U5" s="399"/>
      <c r="V5" s="399">
        <v>6731.9401799999996</v>
      </c>
      <c r="W5" s="399">
        <v>6731.9401799999996</v>
      </c>
      <c r="X5" s="399">
        <v>5261.56783</v>
      </c>
      <c r="Y5" s="399">
        <v>0</v>
      </c>
      <c r="Z5" s="399">
        <v>615.93265835176112</v>
      </c>
      <c r="AA5" s="399">
        <v>0</v>
      </c>
      <c r="AB5" s="399">
        <v>0</v>
      </c>
      <c r="AC5" s="399">
        <v>0</v>
      </c>
      <c r="AD5" s="399">
        <v>1091.7786463682512</v>
      </c>
      <c r="AE5" s="399">
        <v>3298.5755186039642</v>
      </c>
      <c r="AF5" s="399">
        <v>1434.5284587546901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95.236604334417621</v>
      </c>
      <c r="AM5" s="399"/>
      <c r="AN5" s="399">
        <v>14.078083703962337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181.75261970962751</v>
      </c>
      <c r="BH5" s="399">
        <v>0</v>
      </c>
      <c r="BI5" s="399">
        <v>43.47</v>
      </c>
      <c r="BJ5" s="399">
        <v>202.7</v>
      </c>
      <c r="BK5" s="399">
        <v>4058.53</v>
      </c>
      <c r="BL5" s="399">
        <v>83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1616.2810784643175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5261.0495000000001</v>
      </c>
      <c r="CJ5" s="399">
        <v>-1470.9206800000002</v>
      </c>
      <c r="CK5" s="399"/>
      <c r="CL5" s="399"/>
      <c r="CM5" s="399"/>
      <c r="CN5" s="399"/>
      <c r="CO5" s="399">
        <v>-1470.3723500000001</v>
      </c>
      <c r="CP5" s="399">
        <v>0</v>
      </c>
      <c r="CQ5" s="399">
        <v>30</v>
      </c>
      <c r="CR5" s="399">
        <v>-45.230189933859492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-5.1998175999963223</v>
      </c>
      <c r="DA5" s="399">
        <v>0</v>
      </c>
      <c r="DB5" s="399">
        <v>0</v>
      </c>
      <c r="DC5" s="399">
        <v>0</v>
      </c>
      <c r="DD5" s="399">
        <v>0</v>
      </c>
      <c r="DE5" s="399">
        <v>0</v>
      </c>
      <c r="DF5" s="399">
        <v>0</v>
      </c>
      <c r="DG5" s="399">
        <v>0</v>
      </c>
      <c r="DH5" s="399">
        <v>0</v>
      </c>
      <c r="DI5" s="399">
        <v>-34.703901109219714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-4.758801923656705</v>
      </c>
      <c r="DP5" s="399">
        <v>-0.56766930098666535</v>
      </c>
      <c r="DQ5" s="399">
        <v>0</v>
      </c>
      <c r="DR5" s="399">
        <v>0</v>
      </c>
      <c r="DS5" s="399"/>
      <c r="DT5" s="399"/>
      <c r="DU5" s="399"/>
      <c r="DV5" s="399">
        <v>3298.5755186039642</v>
      </c>
      <c r="DW5" s="399">
        <v>0</v>
      </c>
      <c r="DX5" s="399">
        <v>0</v>
      </c>
      <c r="DY5" s="399">
        <v>-1470.3723500000001</v>
      </c>
      <c r="DZ5" s="399">
        <v>0</v>
      </c>
      <c r="EA5" s="399">
        <v>0</v>
      </c>
      <c r="EB5" s="399">
        <v>0</v>
      </c>
      <c r="EC5" s="399">
        <v>-1425.0485640278937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218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1823</v>
      </c>
      <c r="E6" s="399" t="s">
        <v>889</v>
      </c>
      <c r="F6" s="399" t="s">
        <v>2330</v>
      </c>
      <c r="G6" s="399" t="s">
        <v>1239</v>
      </c>
      <c r="H6" s="399" t="s">
        <v>1239</v>
      </c>
      <c r="I6" s="399" t="s">
        <v>1239</v>
      </c>
      <c r="J6" s="399" t="s">
        <v>2329</v>
      </c>
      <c r="K6" s="789">
        <v>44440</v>
      </c>
      <c r="L6" s="399">
        <v>0</v>
      </c>
      <c r="M6" s="399">
        <v>0</v>
      </c>
      <c r="N6" s="399">
        <v>1.0249999999999999</v>
      </c>
      <c r="O6" s="399">
        <v>1.0249999999999999</v>
      </c>
      <c r="P6" s="399">
        <v>1.0249999999999999</v>
      </c>
      <c r="Q6" s="399">
        <v>1.0249999999999999</v>
      </c>
      <c r="R6" s="399"/>
      <c r="S6" s="399">
        <v>451.8</v>
      </c>
      <c r="T6" s="399">
        <v>141.32</v>
      </c>
      <c r="U6" s="399"/>
      <c r="V6" s="399">
        <v>607.94799999999998</v>
      </c>
      <c r="W6" s="399">
        <v>607.94799999999998</v>
      </c>
      <c r="X6" s="399">
        <v>463.46399999999994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110.24264727883534</v>
      </c>
      <c r="AE6" s="399">
        <v>333.07456472949099</v>
      </c>
      <c r="AF6" s="399">
        <v>144.85190328278566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1.4215383505626435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18.352520461271617</v>
      </c>
      <c r="BH6" s="399">
        <v>0</v>
      </c>
      <c r="BI6" s="399">
        <v>3.46</v>
      </c>
      <c r="BJ6" s="399">
        <v>16.57</v>
      </c>
      <c r="BK6" s="399">
        <v>25.37</v>
      </c>
      <c r="BL6" s="399">
        <v>3</v>
      </c>
      <c r="BM6" s="399"/>
      <c r="BN6" s="399"/>
      <c r="BO6" s="399"/>
      <c r="BP6" s="399"/>
      <c r="BQ6" s="399"/>
      <c r="BR6" s="399"/>
      <c r="BS6" s="399"/>
      <c r="BT6" s="399">
        <v>301.24749999999995</v>
      </c>
      <c r="BU6" s="399"/>
      <c r="BV6" s="399">
        <v>163.20442374405727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163.0078</v>
      </c>
      <c r="CJ6" s="399">
        <v>-49.801949999999948</v>
      </c>
      <c r="CK6" s="399"/>
      <c r="CL6" s="399"/>
      <c r="CM6" s="399"/>
      <c r="CN6" s="399"/>
      <c r="CO6" s="399">
        <v>-144.48400000000004</v>
      </c>
      <c r="CP6" s="399">
        <v>0</v>
      </c>
      <c r="CQ6" s="399">
        <v>30</v>
      </c>
      <c r="CR6" s="399">
        <v>-0.58237356649664207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-0.52505300364458662</v>
      </c>
      <c r="DA6" s="399">
        <v>0</v>
      </c>
      <c r="DB6" s="399">
        <v>0</v>
      </c>
      <c r="DC6" s="399">
        <v>0</v>
      </c>
      <c r="DD6" s="399">
        <v>0</v>
      </c>
      <c r="DE6" s="399">
        <v>0</v>
      </c>
      <c r="DF6" s="399">
        <v>0</v>
      </c>
      <c r="DG6" s="399">
        <v>0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-5.7320562852066992E-2</v>
      </c>
      <c r="DQ6" s="399">
        <v>0</v>
      </c>
      <c r="DR6" s="399">
        <v>0</v>
      </c>
      <c r="DS6" s="399"/>
      <c r="DT6" s="399"/>
      <c r="DU6" s="399"/>
      <c r="DV6" s="399">
        <v>333.07456472949099</v>
      </c>
      <c r="DW6" s="399">
        <v>0</v>
      </c>
      <c r="DX6" s="399">
        <v>0</v>
      </c>
      <c r="DY6" s="399">
        <v>-144.48400000000004</v>
      </c>
      <c r="DZ6" s="399">
        <v>0</v>
      </c>
      <c r="EA6" s="399">
        <v>0</v>
      </c>
      <c r="EB6" s="399">
        <v>0</v>
      </c>
      <c r="EC6" s="399">
        <v>-143.89466832120885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218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1823</v>
      </c>
      <c r="E7" s="399" t="s">
        <v>889</v>
      </c>
      <c r="F7" s="399" t="s">
        <v>2331</v>
      </c>
      <c r="G7" s="399" t="s">
        <v>1239</v>
      </c>
      <c r="H7" s="399" t="s">
        <v>1239</v>
      </c>
      <c r="I7" s="399" t="s">
        <v>1239</v>
      </c>
      <c r="J7" s="399" t="s">
        <v>2329</v>
      </c>
      <c r="K7" s="789">
        <v>44440</v>
      </c>
      <c r="L7" s="399">
        <v>0</v>
      </c>
      <c r="M7" s="399">
        <v>0</v>
      </c>
      <c r="N7" s="399">
        <v>2.0699999999999998</v>
      </c>
      <c r="O7" s="399">
        <v>2.0699999999999998</v>
      </c>
      <c r="P7" s="399">
        <v>2.0699999999999998</v>
      </c>
      <c r="Q7" s="399">
        <v>2.0699999999999998</v>
      </c>
      <c r="R7" s="399"/>
      <c r="S7" s="399">
        <v>451.8</v>
      </c>
      <c r="T7" s="399">
        <v>141.32</v>
      </c>
      <c r="U7" s="399"/>
      <c r="V7" s="399">
        <v>1227.7583999999999</v>
      </c>
      <c r="W7" s="399">
        <v>1227.7583999999999</v>
      </c>
      <c r="X7" s="399">
        <v>935.97119999999984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222.63637060213574</v>
      </c>
      <c r="AE7" s="399">
        <v>672.64814535614278</v>
      </c>
      <c r="AF7" s="399">
        <v>292.53018516621103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2.8708140347948023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37.063138882763162</v>
      </c>
      <c r="BH7" s="399">
        <v>0</v>
      </c>
      <c r="BI7" s="399">
        <v>7.3</v>
      </c>
      <c r="BJ7" s="399">
        <v>33.81</v>
      </c>
      <c r="BK7" s="399">
        <v>85.88</v>
      </c>
      <c r="BL7" s="399">
        <v>5</v>
      </c>
      <c r="BM7" s="399"/>
      <c r="BN7" s="399"/>
      <c r="BO7" s="399"/>
      <c r="BP7" s="399"/>
      <c r="BQ7" s="399"/>
      <c r="BR7" s="399"/>
      <c r="BS7" s="399"/>
      <c r="BT7" s="399">
        <v>374.38019999999995</v>
      </c>
      <c r="BU7" s="399"/>
      <c r="BV7" s="399">
        <v>329.59332404897418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561.59099999999989</v>
      </c>
      <c r="CJ7" s="399">
        <v>-175.08990000000006</v>
      </c>
      <c r="CK7" s="399"/>
      <c r="CL7" s="399"/>
      <c r="CM7" s="399"/>
      <c r="CN7" s="399"/>
      <c r="CO7" s="399">
        <v>-291.78720000000004</v>
      </c>
      <c r="CP7" s="399">
        <v>0</v>
      </c>
      <c r="CQ7" s="399">
        <v>30</v>
      </c>
      <c r="CR7" s="399">
        <v>-1.1761105196566177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-1.0603509439456502</v>
      </c>
      <c r="DA7" s="399">
        <v>0</v>
      </c>
      <c r="DB7" s="399">
        <v>0</v>
      </c>
      <c r="DC7" s="399">
        <v>0</v>
      </c>
      <c r="DD7" s="399">
        <v>0</v>
      </c>
      <c r="DE7" s="399">
        <v>0</v>
      </c>
      <c r="DF7" s="399">
        <v>0</v>
      </c>
      <c r="DG7" s="399">
        <v>0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-0.11575957571100393</v>
      </c>
      <c r="DQ7" s="399">
        <v>0</v>
      </c>
      <c r="DR7" s="399">
        <v>0</v>
      </c>
      <c r="DS7" s="399"/>
      <c r="DT7" s="399"/>
      <c r="DU7" s="399"/>
      <c r="DV7" s="399">
        <v>672.64814535614278</v>
      </c>
      <c r="DW7" s="399">
        <v>0</v>
      </c>
      <c r="DX7" s="399">
        <v>0</v>
      </c>
      <c r="DY7" s="399">
        <v>-291.7872000000001</v>
      </c>
      <c r="DZ7" s="399">
        <v>0</v>
      </c>
      <c r="EA7" s="399">
        <v>0</v>
      </c>
      <c r="EB7" s="399">
        <v>0</v>
      </c>
      <c r="EC7" s="399">
        <v>-290.5970374877096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218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1823</v>
      </c>
      <c r="E8" s="399" t="s">
        <v>889</v>
      </c>
      <c r="F8" s="399" t="s">
        <v>2332</v>
      </c>
      <c r="G8" s="399" t="s">
        <v>1239</v>
      </c>
      <c r="H8" s="399" t="s">
        <v>1239</v>
      </c>
      <c r="I8" s="399" t="s">
        <v>1239</v>
      </c>
      <c r="J8" s="399" t="s">
        <v>2329</v>
      </c>
      <c r="K8" s="789">
        <v>44440</v>
      </c>
      <c r="L8" s="399">
        <v>0</v>
      </c>
      <c r="M8" s="399">
        <v>0</v>
      </c>
      <c r="N8" s="399">
        <v>2.093</v>
      </c>
      <c r="O8" s="399">
        <v>2.093</v>
      </c>
      <c r="P8" s="399">
        <v>2.093</v>
      </c>
      <c r="Q8" s="399">
        <v>2.093</v>
      </c>
      <c r="R8" s="399"/>
      <c r="S8" s="399">
        <v>451.8</v>
      </c>
      <c r="T8" s="399">
        <v>141.32</v>
      </c>
      <c r="U8" s="399"/>
      <c r="V8" s="399">
        <v>1241.4001599999999</v>
      </c>
      <c r="W8" s="399">
        <v>1241.4001599999999</v>
      </c>
      <c r="X8" s="399">
        <v>946.37087999999994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225.11010805327061</v>
      </c>
      <c r="AE8" s="399">
        <v>680.12201363787779</v>
      </c>
      <c r="AF8" s="399">
        <v>295.78052055694673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2.9027119685147444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37.474951537016089</v>
      </c>
      <c r="BH8" s="399">
        <v>0</v>
      </c>
      <c r="BI8" s="399">
        <v>9.1199999999999992</v>
      </c>
      <c r="BJ8" s="399">
        <v>42.42</v>
      </c>
      <c r="BK8" s="399">
        <v>242.61</v>
      </c>
      <c r="BL8" s="399">
        <v>19</v>
      </c>
      <c r="BM8" s="399"/>
      <c r="BN8" s="399"/>
      <c r="BO8" s="399"/>
      <c r="BP8" s="399"/>
      <c r="BQ8" s="399"/>
      <c r="BR8" s="399"/>
      <c r="BS8" s="399"/>
      <c r="BT8" s="399">
        <v>94.624529999999965</v>
      </c>
      <c r="BU8" s="399"/>
      <c r="BV8" s="399">
        <v>333.25547209396279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850.52549999999997</v>
      </c>
      <c r="CJ8" s="399">
        <v>-266.76882999999998</v>
      </c>
      <c r="CK8" s="399"/>
      <c r="CL8" s="399"/>
      <c r="CM8" s="399"/>
      <c r="CN8" s="399"/>
      <c r="CO8" s="399">
        <v>-295.02928000000009</v>
      </c>
      <c r="CP8" s="399">
        <v>0</v>
      </c>
      <c r="CQ8" s="399">
        <v>30</v>
      </c>
      <c r="CR8" s="399">
        <v>-1.1891784143194855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-1.0721326211006215</v>
      </c>
      <c r="DA8" s="399">
        <v>0</v>
      </c>
      <c r="DB8" s="399">
        <v>0</v>
      </c>
      <c r="DC8" s="399">
        <v>0</v>
      </c>
      <c r="DD8" s="399">
        <v>0</v>
      </c>
      <c r="DE8" s="399">
        <v>0</v>
      </c>
      <c r="DF8" s="399">
        <v>0</v>
      </c>
      <c r="DG8" s="399">
        <v>0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-0.11704579321890352</v>
      </c>
      <c r="DQ8" s="399">
        <v>0</v>
      </c>
      <c r="DR8" s="399">
        <v>0</v>
      </c>
      <c r="DS8" s="399"/>
      <c r="DT8" s="399"/>
      <c r="DU8" s="399"/>
      <c r="DV8" s="399">
        <v>680.12201363787779</v>
      </c>
      <c r="DW8" s="399">
        <v>0</v>
      </c>
      <c r="DX8" s="399">
        <v>0</v>
      </c>
      <c r="DY8" s="399">
        <v>-295.02928000000009</v>
      </c>
      <c r="DZ8" s="399">
        <v>0</v>
      </c>
      <c r="EA8" s="399">
        <v>0</v>
      </c>
      <c r="EB8" s="399">
        <v>0</v>
      </c>
      <c r="EC8" s="399">
        <v>-293.82589345979528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218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1823</v>
      </c>
      <c r="E9" s="399" t="s">
        <v>889</v>
      </c>
      <c r="F9" s="399" t="s">
        <v>2333</v>
      </c>
      <c r="G9" s="399" t="s">
        <v>1239</v>
      </c>
      <c r="H9" s="399" t="s">
        <v>1239</v>
      </c>
      <c r="I9" s="399" t="s">
        <v>1239</v>
      </c>
      <c r="J9" s="399" t="s">
        <v>2329</v>
      </c>
      <c r="K9" s="789">
        <v>44440</v>
      </c>
      <c r="L9" s="399">
        <v>0</v>
      </c>
      <c r="M9" s="399">
        <v>0</v>
      </c>
      <c r="N9" s="399">
        <v>0.58399999999999996</v>
      </c>
      <c r="O9" s="399">
        <v>0.58399999999999996</v>
      </c>
      <c r="P9" s="399">
        <v>0.58399999999999996</v>
      </c>
      <c r="Q9" s="399">
        <v>0.58399999999999996</v>
      </c>
      <c r="R9" s="399"/>
      <c r="S9" s="399">
        <v>451.8</v>
      </c>
      <c r="T9" s="399">
        <v>141.32</v>
      </c>
      <c r="U9" s="399"/>
      <c r="V9" s="399">
        <v>346.38207999999997</v>
      </c>
      <c r="W9" s="399">
        <v>346.38207999999997</v>
      </c>
      <c r="X9" s="399">
        <v>264.06143999999995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62.811420498380329</v>
      </c>
      <c r="AE9" s="399">
        <v>189.77126419709535</v>
      </c>
      <c r="AF9" s="399">
        <v>82.53025513867982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0.80993014314983791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10.456460438422072</v>
      </c>
      <c r="BH9" s="399">
        <v>0</v>
      </c>
      <c r="BI9" s="399">
        <v>3.55</v>
      </c>
      <c r="BJ9" s="399">
        <v>16.18</v>
      </c>
      <c r="BK9" s="399">
        <v>142.75</v>
      </c>
      <c r="BL9" s="399">
        <v>8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92.98671557710189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262.25279999999998</v>
      </c>
      <c r="CJ9" s="399">
        <v>-84.159279999999967</v>
      </c>
      <c r="CK9" s="399"/>
      <c r="CL9" s="399"/>
      <c r="CM9" s="399"/>
      <c r="CN9" s="399"/>
      <c r="CO9" s="399">
        <v>-82.320640000000012</v>
      </c>
      <c r="CP9" s="399">
        <v>0</v>
      </c>
      <c r="CQ9" s="399">
        <v>30</v>
      </c>
      <c r="CR9" s="399">
        <v>-0.33181089056978408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-0.29915215036920983</v>
      </c>
      <c r="DA9" s="399">
        <v>0</v>
      </c>
      <c r="DB9" s="399">
        <v>0</v>
      </c>
      <c r="DC9" s="399">
        <v>0</v>
      </c>
      <c r="DD9" s="399">
        <v>0</v>
      </c>
      <c r="DE9" s="399">
        <v>0</v>
      </c>
      <c r="DF9" s="399">
        <v>0</v>
      </c>
      <c r="DG9" s="399">
        <v>0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-3.265874020059234E-2</v>
      </c>
      <c r="DQ9" s="399">
        <v>0</v>
      </c>
      <c r="DR9" s="399">
        <v>0</v>
      </c>
      <c r="DS9" s="399"/>
      <c r="DT9" s="399"/>
      <c r="DU9" s="399"/>
      <c r="DV9" s="399">
        <v>189.77126419709535</v>
      </c>
      <c r="DW9" s="399">
        <v>0</v>
      </c>
      <c r="DX9" s="399">
        <v>0</v>
      </c>
      <c r="DY9" s="399">
        <v>-82.320640000000026</v>
      </c>
      <c r="DZ9" s="399">
        <v>0</v>
      </c>
      <c r="EA9" s="399">
        <v>0</v>
      </c>
      <c r="EB9" s="399">
        <v>0</v>
      </c>
      <c r="EC9" s="399">
        <v>-81.984864682522883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218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2328</v>
      </c>
      <c r="D10" s="399" t="s">
        <v>1826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1239</v>
      </c>
      <c r="J10" s="399" t="s">
        <v>2329</v>
      </c>
      <c r="K10" s="789">
        <v>44440</v>
      </c>
      <c r="L10" s="399">
        <v>0</v>
      </c>
      <c r="M10" s="399">
        <v>0</v>
      </c>
      <c r="N10" s="399">
        <v>168.71199999999999</v>
      </c>
      <c r="O10" s="399">
        <v>168.71199999999999</v>
      </c>
      <c r="P10" s="399">
        <v>168.71199999999999</v>
      </c>
      <c r="Q10" s="399">
        <v>168.71199999999999</v>
      </c>
      <c r="R10" s="399"/>
      <c r="S10" s="399">
        <v>521.86</v>
      </c>
      <c r="T10" s="399">
        <v>141.32</v>
      </c>
      <c r="U10" s="399"/>
      <c r="V10" s="399">
        <v>111886.42416</v>
      </c>
      <c r="W10" s="399">
        <v>111886.42416</v>
      </c>
      <c r="X10" s="399">
        <v>87448.490959999996</v>
      </c>
      <c r="Y10" s="399">
        <v>0</v>
      </c>
      <c r="Z10" s="399">
        <v>10236.945193167403</v>
      </c>
      <c r="AA10" s="399">
        <v>0</v>
      </c>
      <c r="AB10" s="399">
        <v>0</v>
      </c>
      <c r="AC10" s="399">
        <v>0</v>
      </c>
      <c r="AD10" s="399">
        <v>18145.617080689626</v>
      </c>
      <c r="AE10" s="399">
        <v>54823.098502089641</v>
      </c>
      <c r="AF10" s="399">
        <v>23842.199323556422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1582.8546931798114</v>
      </c>
      <c r="AM10" s="399"/>
      <c r="AN10" s="399">
        <v>233.98105190256069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3020.7711532312751</v>
      </c>
      <c r="BH10" s="399">
        <v>0</v>
      </c>
      <c r="BI10" s="399">
        <v>722.62</v>
      </c>
      <c r="BJ10" s="399">
        <v>3338.69</v>
      </c>
      <c r="BK10" s="399">
        <v>37056.639999999999</v>
      </c>
      <c r="BL10" s="399">
        <v>141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26862.970476787697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87447.454299999998</v>
      </c>
      <c r="CJ10" s="399">
        <v>-24438.999859999982</v>
      </c>
      <c r="CK10" s="399"/>
      <c r="CL10" s="399"/>
      <c r="CM10" s="399"/>
      <c r="CN10" s="399"/>
      <c r="CO10" s="399">
        <v>-24437.933200000003</v>
      </c>
      <c r="CP10" s="399">
        <v>0</v>
      </c>
      <c r="CQ10" s="399">
        <v>30</v>
      </c>
      <c r="CR10" s="399">
        <v>-751.73636135565903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-86.42218765940197</v>
      </c>
      <c r="DA10" s="399">
        <v>0</v>
      </c>
      <c r="DB10" s="399">
        <v>0</v>
      </c>
      <c r="DC10" s="399">
        <v>0</v>
      </c>
      <c r="DD10" s="399">
        <v>0</v>
      </c>
      <c r="DE10" s="399">
        <v>0</v>
      </c>
      <c r="DF10" s="399">
        <v>0</v>
      </c>
      <c r="DG10" s="399">
        <v>0</v>
      </c>
      <c r="DH10" s="399">
        <v>0</v>
      </c>
      <c r="DI10" s="399">
        <v>-576.78697310005555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-79.092403718251489</v>
      </c>
      <c r="DP10" s="399">
        <v>-9.4347968779491964</v>
      </c>
      <c r="DQ10" s="399">
        <v>0</v>
      </c>
      <c r="DR10" s="399">
        <v>0</v>
      </c>
      <c r="DS10" s="399"/>
      <c r="DT10" s="399"/>
      <c r="DU10" s="399"/>
      <c r="DV10" s="399">
        <v>54823.098502089641</v>
      </c>
      <c r="DW10" s="399">
        <v>0</v>
      </c>
      <c r="DX10" s="399">
        <v>0</v>
      </c>
      <c r="DY10" s="399">
        <v>-24437.933200000007</v>
      </c>
      <c r="DZ10" s="399">
        <v>0</v>
      </c>
      <c r="EA10" s="399">
        <v>0</v>
      </c>
      <c r="EB10" s="399">
        <v>0</v>
      </c>
      <c r="EC10" s="399">
        <v>-23684.64125054418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218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2361</v>
      </c>
      <c r="C11" s="399" t="s">
        <v>2328</v>
      </c>
      <c r="D11" s="399" t="s">
        <v>1826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2329</v>
      </c>
      <c r="K11" s="789">
        <v>44440</v>
      </c>
      <c r="L11" s="399">
        <v>0</v>
      </c>
      <c r="M11" s="399">
        <v>0</v>
      </c>
      <c r="N11" s="399">
        <v>6.9630000000000001</v>
      </c>
      <c r="O11" s="399">
        <v>6.9630000000000001</v>
      </c>
      <c r="P11" s="399">
        <v>6.9630000000000001</v>
      </c>
      <c r="Q11" s="399">
        <v>6.9630000000000001</v>
      </c>
      <c r="R11" s="399"/>
      <c r="S11" s="399">
        <v>521.86</v>
      </c>
      <c r="T11" s="399">
        <v>141.32</v>
      </c>
      <c r="U11" s="399"/>
      <c r="V11" s="399">
        <v>4617.7223400000003</v>
      </c>
      <c r="W11" s="399">
        <v>4617.7223400000003</v>
      </c>
      <c r="X11" s="399">
        <v>3609.1317899999999</v>
      </c>
      <c r="Y11" s="399">
        <v>0</v>
      </c>
      <c r="Z11" s="399">
        <v>422.49424688240691</v>
      </c>
      <c r="AA11" s="399">
        <v>0</v>
      </c>
      <c r="AB11" s="399">
        <v>0</v>
      </c>
      <c r="AC11" s="399">
        <v>0</v>
      </c>
      <c r="AD11" s="399">
        <v>748.89712488051759</v>
      </c>
      <c r="AE11" s="399">
        <v>2262.6323845965326</v>
      </c>
      <c r="AF11" s="399">
        <v>984.00370981271863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65.326812725893987</v>
      </c>
      <c r="AM11" s="399"/>
      <c r="AN11" s="399">
        <v>9.6567527170416465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124.67180485057003</v>
      </c>
      <c r="BH11" s="399">
        <v>0</v>
      </c>
      <c r="BI11" s="399">
        <v>30.39</v>
      </c>
      <c r="BJ11" s="399">
        <v>140.5</v>
      </c>
      <c r="BK11" s="399">
        <v>4342.1000000000004</v>
      </c>
      <c r="BL11" s="399">
        <v>9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1108.6755146632886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3607.5767999999998</v>
      </c>
      <c r="CJ11" s="399">
        <v>-1010.1755400000011</v>
      </c>
      <c r="CK11" s="399"/>
      <c r="CL11" s="399"/>
      <c r="CM11" s="399"/>
      <c r="CN11" s="399"/>
      <c r="CO11" s="399">
        <v>-1008.5905500000001</v>
      </c>
      <c r="CP11" s="399">
        <v>0</v>
      </c>
      <c r="CQ11" s="399">
        <v>30</v>
      </c>
      <c r="CR11" s="399">
        <v>-31.025299232535417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-3.5667746969534164</v>
      </c>
      <c r="DA11" s="399">
        <v>0</v>
      </c>
      <c r="DB11" s="399">
        <v>0</v>
      </c>
      <c r="DC11" s="399">
        <v>0</v>
      </c>
      <c r="DD11" s="399">
        <v>0</v>
      </c>
      <c r="DE11" s="399">
        <v>0</v>
      </c>
      <c r="DF11" s="399">
        <v>0</v>
      </c>
      <c r="DG11" s="399">
        <v>0</v>
      </c>
      <c r="DH11" s="399">
        <v>0</v>
      </c>
      <c r="DI11" s="399">
        <v>-23.804872763619016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-3.2642634020708954</v>
      </c>
      <c r="DP11" s="399">
        <v>-0.38938836989165182</v>
      </c>
      <c r="DQ11" s="399">
        <v>0</v>
      </c>
      <c r="DR11" s="399">
        <v>0</v>
      </c>
      <c r="DS11" s="399"/>
      <c r="DT11" s="399"/>
      <c r="DU11" s="399"/>
      <c r="DV11" s="399">
        <v>2262.6323845965326</v>
      </c>
      <c r="DW11" s="399">
        <v>0</v>
      </c>
      <c r="DX11" s="399">
        <v>0</v>
      </c>
      <c r="DY11" s="399">
        <v>-1008.5905500000003</v>
      </c>
      <c r="DZ11" s="399">
        <v>0</v>
      </c>
      <c r="EA11" s="399">
        <v>0</v>
      </c>
      <c r="EB11" s="399">
        <v>0</v>
      </c>
      <c r="EC11" s="399">
        <v>-977.50104928836799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218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2334</v>
      </c>
      <c r="D12" s="399" t="s">
        <v>533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2329</v>
      </c>
      <c r="K12" s="789">
        <v>44440</v>
      </c>
      <c r="L12" s="399">
        <v>0</v>
      </c>
      <c r="M12" s="399">
        <v>0</v>
      </c>
      <c r="N12" s="399">
        <v>52.817999999999998</v>
      </c>
      <c r="O12" s="399">
        <v>52.817999999999998</v>
      </c>
      <c r="P12" s="399">
        <v>52.817999999999998</v>
      </c>
      <c r="Q12" s="399">
        <v>52.817999999999998</v>
      </c>
      <c r="R12" s="399"/>
      <c r="S12" s="399">
        <v>2741.05</v>
      </c>
      <c r="T12" s="399">
        <v>141.32</v>
      </c>
      <c r="U12" s="399"/>
      <c r="V12" s="399">
        <v>152241.01866</v>
      </c>
      <c r="W12" s="399">
        <v>152241.01866</v>
      </c>
      <c r="X12" s="399">
        <v>109010.01383999999</v>
      </c>
      <c r="Y12" s="399">
        <v>0</v>
      </c>
      <c r="Z12" s="399">
        <v>2788.2108264679628</v>
      </c>
      <c r="AA12" s="399">
        <v>0</v>
      </c>
      <c r="AB12" s="399">
        <v>0</v>
      </c>
      <c r="AC12" s="399">
        <v>0</v>
      </c>
      <c r="AD12" s="399">
        <v>41914.330204583443</v>
      </c>
      <c r="AE12" s="399">
        <v>99182.101843516299</v>
      </c>
      <c r="AF12" s="399">
        <v>7464.1832464294366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495.5380718880179</v>
      </c>
      <c r="AM12" s="399"/>
      <c r="AN12" s="399">
        <v>31.730012739898605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365.12863808420212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7829.3118845136387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109014.1416</v>
      </c>
      <c r="CJ12" s="399">
        <v>-43226.907060000027</v>
      </c>
      <c r="CK12" s="399"/>
      <c r="CL12" s="399"/>
      <c r="CM12" s="399"/>
      <c r="CN12" s="399"/>
      <c r="CO12" s="399">
        <v>-43231.004820000009</v>
      </c>
      <c r="CP12" s="399">
        <v>0</v>
      </c>
      <c r="CQ12" s="399">
        <v>30</v>
      </c>
      <c r="CR12" s="399">
        <v>-382.76411224248295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-199.62551256609731</v>
      </c>
      <c r="DA12" s="399">
        <v>0</v>
      </c>
      <c r="DB12" s="399">
        <v>0</v>
      </c>
      <c r="DC12" s="399">
        <v>0</v>
      </c>
      <c r="DD12" s="399">
        <v>0</v>
      </c>
      <c r="DE12" s="399">
        <v>0</v>
      </c>
      <c r="DF12" s="399">
        <v>0</v>
      </c>
      <c r="DG12" s="399">
        <v>0</v>
      </c>
      <c r="DH12" s="399">
        <v>0</v>
      </c>
      <c r="DI12" s="399">
        <v>-157.09800654561514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-24.761146685420158</v>
      </c>
      <c r="DP12" s="399">
        <v>-1.2794464453488565</v>
      </c>
      <c r="DQ12" s="399">
        <v>0</v>
      </c>
      <c r="DR12" s="399">
        <v>0</v>
      </c>
      <c r="DS12" s="399"/>
      <c r="DT12" s="399"/>
      <c r="DU12" s="399"/>
      <c r="DV12" s="399">
        <v>99182.101843516299</v>
      </c>
      <c r="DW12" s="399">
        <v>0</v>
      </c>
      <c r="DX12" s="399">
        <v>0</v>
      </c>
      <c r="DY12" s="399">
        <v>-43231.004820000016</v>
      </c>
      <c r="DZ12" s="399">
        <v>0</v>
      </c>
      <c r="EA12" s="399">
        <v>0</v>
      </c>
      <c r="EB12" s="399">
        <v>0</v>
      </c>
      <c r="EC12" s="399">
        <v>-42848.590554382688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218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2361</v>
      </c>
      <c r="C13" s="399" t="s">
        <v>2334</v>
      </c>
      <c r="D13" s="399" t="s">
        <v>533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893</v>
      </c>
      <c r="J13" s="399" t="s">
        <v>2329</v>
      </c>
      <c r="K13" s="789">
        <v>44440</v>
      </c>
      <c r="L13" s="399">
        <v>0</v>
      </c>
      <c r="M13" s="399">
        <v>0</v>
      </c>
      <c r="N13" s="399">
        <v>0.89500000000000002</v>
      </c>
      <c r="O13" s="399">
        <v>0.89500000000000002</v>
      </c>
      <c r="P13" s="399">
        <v>0.89500000000000002</v>
      </c>
      <c r="Q13" s="399">
        <v>0.89500000000000002</v>
      </c>
      <c r="R13" s="399"/>
      <c r="S13" s="399">
        <v>2741.05</v>
      </c>
      <c r="T13" s="399">
        <v>141.32</v>
      </c>
      <c r="U13" s="399"/>
      <c r="V13" s="399">
        <v>2579.7211500000003</v>
      </c>
      <c r="W13" s="399">
        <v>2579.7211500000003</v>
      </c>
      <c r="X13" s="399">
        <v>1847.1725999999999</v>
      </c>
      <c r="Y13" s="399">
        <v>0</v>
      </c>
      <c r="Z13" s="399">
        <v>47.246179137582395</v>
      </c>
      <c r="AA13" s="399">
        <v>0</v>
      </c>
      <c r="AB13" s="399">
        <v>0</v>
      </c>
      <c r="AC13" s="399">
        <v>0</v>
      </c>
      <c r="AD13" s="399">
        <v>710.23752381957252</v>
      </c>
      <c r="AE13" s="399">
        <v>1680.63881915156</v>
      </c>
      <c r="AF13" s="399">
        <v>126.48044237862749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8.3968831523301919</v>
      </c>
      <c r="AM13" s="399"/>
      <c r="AN13" s="399">
        <v>0.5376644591277453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6.1870977902487967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132.66754016887629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1857.4920000000002</v>
      </c>
      <c r="CJ13" s="399">
        <v>-722.25915000000077</v>
      </c>
      <c r="CK13" s="399"/>
      <c r="CL13" s="399"/>
      <c r="CM13" s="399"/>
      <c r="CN13" s="399"/>
      <c r="CO13" s="399">
        <v>-732.5485500000002</v>
      </c>
      <c r="CP13" s="399">
        <v>0</v>
      </c>
      <c r="CQ13" s="399">
        <v>30</v>
      </c>
      <c r="CR13" s="399">
        <v>-6.4859305626306423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-3.3826504931397494</v>
      </c>
      <c r="DA13" s="399">
        <v>0</v>
      </c>
      <c r="DB13" s="399">
        <v>0</v>
      </c>
      <c r="DC13" s="399">
        <v>0</v>
      </c>
      <c r="DD13" s="399">
        <v>0</v>
      </c>
      <c r="DE13" s="399">
        <v>0</v>
      </c>
      <c r="DF13" s="399">
        <v>0</v>
      </c>
      <c r="DG13" s="399">
        <v>0</v>
      </c>
      <c r="DH13" s="399">
        <v>0</v>
      </c>
      <c r="DI13" s="399">
        <v>-2.6620227168451223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-0.41957715709513899</v>
      </c>
      <c r="DP13" s="399">
        <v>-2.1680195550517367E-2</v>
      </c>
      <c r="DQ13" s="399">
        <v>0</v>
      </c>
      <c r="DR13" s="399">
        <v>0</v>
      </c>
      <c r="DS13" s="399"/>
      <c r="DT13" s="399"/>
      <c r="DU13" s="399"/>
      <c r="DV13" s="399">
        <v>1680.63881915156</v>
      </c>
      <c r="DW13" s="399">
        <v>0</v>
      </c>
      <c r="DX13" s="399">
        <v>0</v>
      </c>
      <c r="DY13" s="399">
        <v>-732.5485500000002</v>
      </c>
      <c r="DZ13" s="399">
        <v>0</v>
      </c>
      <c r="EA13" s="399">
        <v>0</v>
      </c>
      <c r="EB13" s="399">
        <v>0</v>
      </c>
      <c r="EC13" s="399">
        <v>-726.06854758174325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218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2334</v>
      </c>
      <c r="D14" s="399" t="s">
        <v>533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2326</v>
      </c>
      <c r="J14" s="399" t="s">
        <v>2329</v>
      </c>
      <c r="K14" s="789">
        <v>44440</v>
      </c>
      <c r="L14" s="399">
        <v>0</v>
      </c>
      <c r="M14" s="399">
        <v>0</v>
      </c>
      <c r="N14" s="399">
        <v>2285.2629999999999</v>
      </c>
      <c r="O14" s="399">
        <v>2285.2629999999999</v>
      </c>
      <c r="P14" s="399">
        <v>2285.2629999999999</v>
      </c>
      <c r="Q14" s="399">
        <v>2285.2629999999999</v>
      </c>
      <c r="R14" s="399"/>
      <c r="S14" s="399">
        <v>69.680000000000007</v>
      </c>
      <c r="T14" s="399">
        <v>141.32</v>
      </c>
      <c r="U14" s="399"/>
      <c r="V14" s="399">
        <v>482190.49300000002</v>
      </c>
      <c r="W14" s="399">
        <v>482190.49300000002</v>
      </c>
      <c r="X14" s="399">
        <v>474283.48301999993</v>
      </c>
      <c r="Y14" s="399">
        <v>0</v>
      </c>
      <c r="Z14" s="399">
        <v>120636.8101390938</v>
      </c>
      <c r="AA14" s="399">
        <v>0</v>
      </c>
      <c r="AB14" s="399">
        <v>0</v>
      </c>
      <c r="AC14" s="399">
        <v>0</v>
      </c>
      <c r="AD14" s="399">
        <v>0</v>
      </c>
      <c r="AE14" s="399">
        <v>0</v>
      </c>
      <c r="AF14" s="399">
        <v>322950.92200168647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21440.319981389439</v>
      </c>
      <c r="AM14" s="399"/>
      <c r="AN14" s="399">
        <v>1372.8544076644118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15797.928108868531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338748.85011055501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474282.86040000006</v>
      </c>
      <c r="CJ14" s="399">
        <v>-7907.6625999999815</v>
      </c>
      <c r="CK14" s="399"/>
      <c r="CL14" s="399"/>
      <c r="CM14" s="399"/>
      <c r="CN14" s="399"/>
      <c r="CO14" s="399">
        <v>-7907.009980000018</v>
      </c>
      <c r="CP14" s="399">
        <v>0</v>
      </c>
      <c r="CQ14" s="399">
        <v>30</v>
      </c>
      <c r="CR14" s="399">
        <v>-7923.8113088767277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0</v>
      </c>
      <c r="DA14" s="399">
        <v>0</v>
      </c>
      <c r="DB14" s="399">
        <v>0</v>
      </c>
      <c r="DC14" s="399">
        <v>0</v>
      </c>
      <c r="DD14" s="399">
        <v>0</v>
      </c>
      <c r="DE14" s="399">
        <v>0</v>
      </c>
      <c r="DF14" s="399">
        <v>0</v>
      </c>
      <c r="DG14" s="399">
        <v>0</v>
      </c>
      <c r="DH14" s="399">
        <v>0</v>
      </c>
      <c r="DI14" s="399">
        <v>-6797.1195753805805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-1071.3342488879425</v>
      </c>
      <c r="DP14" s="399">
        <v>-55.357484608225604</v>
      </c>
      <c r="DQ14" s="399">
        <v>0</v>
      </c>
      <c r="DR14" s="399">
        <v>0</v>
      </c>
      <c r="DS14" s="399"/>
      <c r="DT14" s="399"/>
      <c r="DU14" s="399"/>
      <c r="DV14" s="399">
        <v>0</v>
      </c>
      <c r="DW14" s="399">
        <v>0</v>
      </c>
      <c r="DX14" s="399">
        <v>0</v>
      </c>
      <c r="DY14" s="399">
        <v>-7907.0099800000316</v>
      </c>
      <c r="DZ14" s="399">
        <v>0</v>
      </c>
      <c r="EA14" s="399">
        <v>0</v>
      </c>
      <c r="EB14" s="399">
        <v>0</v>
      </c>
      <c r="EC14" s="399">
        <v>0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218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2361</v>
      </c>
      <c r="C15" s="399" t="s">
        <v>2334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2326</v>
      </c>
      <c r="J15" s="399" t="s">
        <v>2329</v>
      </c>
      <c r="K15" s="789">
        <v>44440</v>
      </c>
      <c r="L15" s="399">
        <v>0</v>
      </c>
      <c r="M15" s="399">
        <v>0</v>
      </c>
      <c r="N15" s="399">
        <v>0.39</v>
      </c>
      <c r="O15" s="399">
        <v>0.39</v>
      </c>
      <c r="P15" s="399">
        <v>0.39</v>
      </c>
      <c r="Q15" s="399">
        <v>0.39</v>
      </c>
      <c r="R15" s="399"/>
      <c r="S15" s="399">
        <v>69.680000000000007</v>
      </c>
      <c r="T15" s="399">
        <v>141.32</v>
      </c>
      <c r="U15" s="399"/>
      <c r="V15" s="399">
        <v>82.29</v>
      </c>
      <c r="W15" s="399">
        <v>82.29</v>
      </c>
      <c r="X15" s="399">
        <v>80.940600000000003</v>
      </c>
      <c r="Y15" s="399">
        <v>0</v>
      </c>
      <c r="Z15" s="399">
        <v>20.587720518052663</v>
      </c>
      <c r="AA15" s="399">
        <v>0</v>
      </c>
      <c r="AB15" s="399">
        <v>0</v>
      </c>
      <c r="AC15" s="399">
        <v>0</v>
      </c>
      <c r="AD15" s="399">
        <v>0</v>
      </c>
      <c r="AE15" s="399">
        <v>0</v>
      </c>
      <c r="AF15" s="399">
        <v>55.114382712474544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3.6589770160991897</v>
      </c>
      <c r="AM15" s="399"/>
      <c r="AN15" s="399">
        <v>0.23428954084896167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2.6960537856950064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57.810436498169551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80.940600000000003</v>
      </c>
      <c r="CJ15" s="399">
        <v>-1.379400000000004</v>
      </c>
      <c r="CK15" s="399"/>
      <c r="CL15" s="399"/>
      <c r="CM15" s="399"/>
      <c r="CN15" s="399"/>
      <c r="CO15" s="399">
        <v>-1.349400000000003</v>
      </c>
      <c r="CP15" s="399">
        <v>0</v>
      </c>
      <c r="CQ15" s="399">
        <v>30</v>
      </c>
      <c r="CR15" s="399">
        <v>-1.352267292850712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0</v>
      </c>
      <c r="DA15" s="399">
        <v>0</v>
      </c>
      <c r="DB15" s="399">
        <v>0</v>
      </c>
      <c r="DC15" s="399">
        <v>0</v>
      </c>
      <c r="DD15" s="399">
        <v>0</v>
      </c>
      <c r="DE15" s="399">
        <v>0</v>
      </c>
      <c r="DF15" s="399">
        <v>0</v>
      </c>
      <c r="DG15" s="399">
        <v>0</v>
      </c>
      <c r="DH15" s="399">
        <v>0</v>
      </c>
      <c r="DI15" s="399">
        <v>-1.1599875525917263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-0.18283250420905484</v>
      </c>
      <c r="DP15" s="399">
        <v>-9.4472360499461283E-3</v>
      </c>
      <c r="DQ15" s="399">
        <v>0</v>
      </c>
      <c r="DR15" s="399">
        <v>0</v>
      </c>
      <c r="DS15" s="399"/>
      <c r="DT15" s="399"/>
      <c r="DU15" s="399"/>
      <c r="DV15" s="399">
        <v>0</v>
      </c>
      <c r="DW15" s="399">
        <v>0</v>
      </c>
      <c r="DX15" s="399">
        <v>0</v>
      </c>
      <c r="DY15" s="399">
        <v>-1.3494000000000028</v>
      </c>
      <c r="DZ15" s="399">
        <v>0</v>
      </c>
      <c r="EA15" s="399">
        <v>0</v>
      </c>
      <c r="EB15" s="399">
        <v>0</v>
      </c>
      <c r="EC15" s="399">
        <v>0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218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2334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1239</v>
      </c>
      <c r="J16" s="399" t="s">
        <v>2329</v>
      </c>
      <c r="K16" s="789">
        <v>44440</v>
      </c>
      <c r="L16" s="399">
        <v>9810</v>
      </c>
      <c r="M16" s="399">
        <v>9810</v>
      </c>
      <c r="N16" s="399">
        <v>0</v>
      </c>
      <c r="O16" s="399">
        <v>0</v>
      </c>
      <c r="P16" s="399">
        <v>0</v>
      </c>
      <c r="Q16" s="399">
        <v>0</v>
      </c>
      <c r="R16" s="399">
        <v>35.15</v>
      </c>
      <c r="S16" s="399"/>
      <c r="T16" s="399"/>
      <c r="U16" s="399">
        <v>344821.5</v>
      </c>
      <c r="V16" s="399"/>
      <c r="W16" s="399">
        <v>344821.5</v>
      </c>
      <c r="X16" s="399">
        <v>251724.6</v>
      </c>
      <c r="Y16" s="399">
        <v>0</v>
      </c>
      <c r="Z16" s="399">
        <v>0</v>
      </c>
      <c r="AA16" s="399">
        <v>0</v>
      </c>
      <c r="AB16" s="399">
        <v>0</v>
      </c>
      <c r="AC16" s="399">
        <v>0</v>
      </c>
      <c r="AD16" s="399">
        <v>130780.77199966926</v>
      </c>
      <c r="AE16" s="399">
        <v>214034.35654078919</v>
      </c>
      <c r="AF16" s="399"/>
      <c r="AG16" s="399"/>
      <c r="AH16" s="399"/>
      <c r="AI16" s="399">
        <v>0</v>
      </c>
      <c r="AJ16" s="399">
        <v>0</v>
      </c>
      <c r="AK16" s="399">
        <v>0</v>
      </c>
      <c r="AL16" s="399">
        <v>0</v>
      </c>
      <c r="AM16" s="399"/>
      <c r="AN16" s="399">
        <v>0</v>
      </c>
      <c r="AO16" s="399">
        <v>0</v>
      </c>
      <c r="AP16" s="399">
        <v>0</v>
      </c>
      <c r="AQ16" s="399">
        <v>0</v>
      </c>
      <c r="AR16" s="399">
        <v>0</v>
      </c>
      <c r="AS16" s="399"/>
      <c r="AT16" s="399"/>
      <c r="AU16" s="399">
        <v>0</v>
      </c>
      <c r="AV16" s="399">
        <v>0</v>
      </c>
      <c r="AW16" s="399">
        <v>0</v>
      </c>
      <c r="AX16" s="399"/>
      <c r="AY16" s="399"/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/>
      <c r="BG16" s="399">
        <v>0</v>
      </c>
      <c r="BH16" s="399">
        <v>0</v>
      </c>
      <c r="BI16" s="399">
        <v>7617.35</v>
      </c>
      <c r="BJ16" s="399">
        <v>35157.839999999997</v>
      </c>
      <c r="BK16" s="399">
        <v>385272.9</v>
      </c>
      <c r="BL16" s="399">
        <v>32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0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251724.6</v>
      </c>
      <c r="CJ16" s="399">
        <v>-93096.930000000022</v>
      </c>
      <c r="CK16" s="399"/>
      <c r="CL16" s="399"/>
      <c r="CM16" s="399"/>
      <c r="CN16" s="399"/>
      <c r="CO16" s="399">
        <v>-93096.89999999998</v>
      </c>
      <c r="CP16" s="399">
        <v>0</v>
      </c>
      <c r="CQ16" s="399">
        <v>30</v>
      </c>
      <c r="CR16" s="399">
        <v>-622.86999498165096</v>
      </c>
      <c r="CS16" s="399">
        <v>0</v>
      </c>
      <c r="CT16" s="399">
        <v>0</v>
      </c>
      <c r="CU16" s="399">
        <v>0</v>
      </c>
      <c r="CV16" s="399">
        <v>0</v>
      </c>
      <c r="CW16" s="399"/>
      <c r="CX16" s="399"/>
      <c r="CY16" s="399"/>
      <c r="CZ16" s="399">
        <v>-622.86999498165096</v>
      </c>
      <c r="DA16" s="399">
        <v>0</v>
      </c>
      <c r="DB16" s="399">
        <v>0</v>
      </c>
      <c r="DC16" s="399"/>
      <c r="DD16" s="399"/>
      <c r="DE16" s="399">
        <v>0</v>
      </c>
      <c r="DF16" s="399">
        <v>0</v>
      </c>
      <c r="DG16" s="399">
        <v>0</v>
      </c>
      <c r="DH16" s="399">
        <v>0</v>
      </c>
      <c r="DI16" s="399">
        <v>0</v>
      </c>
      <c r="DJ16" s="399"/>
      <c r="DK16" s="399">
        <v>0</v>
      </c>
      <c r="DL16" s="399">
        <v>0</v>
      </c>
      <c r="DM16" s="399"/>
      <c r="DN16" s="399">
        <v>0</v>
      </c>
      <c r="DO16" s="399">
        <v>0</v>
      </c>
      <c r="DP16" s="399">
        <v>0</v>
      </c>
      <c r="DQ16" s="399">
        <v>0</v>
      </c>
      <c r="DR16" s="399">
        <v>0</v>
      </c>
      <c r="DS16" s="399"/>
      <c r="DT16" s="399"/>
      <c r="DU16" s="399">
        <v>214034.35654078919</v>
      </c>
      <c r="DV16" s="399"/>
      <c r="DW16" s="399">
        <v>0</v>
      </c>
      <c r="DX16" s="399">
        <v>0</v>
      </c>
      <c r="DY16" s="399">
        <v>-93096.9</v>
      </c>
      <c r="DZ16" s="399"/>
      <c r="EA16" s="399">
        <v>0</v>
      </c>
      <c r="EB16" s="399"/>
      <c r="EC16" s="399">
        <v>-92466.990893746071</v>
      </c>
      <c r="ED16" s="399"/>
      <c r="EE16" s="399">
        <v>0</v>
      </c>
      <c r="EF16" s="399">
        <v>0</v>
      </c>
      <c r="EG16" s="399"/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/>
      <c r="EN16" s="399"/>
      <c r="EO16" s="399">
        <v>0</v>
      </c>
      <c r="EP16" s="399">
        <v>0</v>
      </c>
      <c r="EQ16" s="399"/>
      <c r="ER16" s="399">
        <v>0</v>
      </c>
      <c r="ES16" s="399"/>
      <c r="ET16" s="399">
        <v>0</v>
      </c>
      <c r="EU16" s="399"/>
      <c r="EV16" s="399">
        <v>218</v>
      </c>
      <c r="EW16" s="399"/>
      <c r="EX16" s="399"/>
      <c r="EY16" s="399"/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2361</v>
      </c>
      <c r="C17" s="399" t="s">
        <v>2334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2329</v>
      </c>
      <c r="K17" s="789">
        <v>44440</v>
      </c>
      <c r="L17" s="399">
        <v>190</v>
      </c>
      <c r="M17" s="399">
        <v>190</v>
      </c>
      <c r="N17" s="399">
        <v>0</v>
      </c>
      <c r="O17" s="399">
        <v>0</v>
      </c>
      <c r="P17" s="399">
        <v>0</v>
      </c>
      <c r="Q17" s="399">
        <v>0</v>
      </c>
      <c r="R17" s="399">
        <v>35.15</v>
      </c>
      <c r="S17" s="399"/>
      <c r="T17" s="399"/>
      <c r="U17" s="399">
        <v>6678.5</v>
      </c>
      <c r="V17" s="399"/>
      <c r="W17" s="399">
        <v>6678.5</v>
      </c>
      <c r="X17" s="399">
        <v>4875.3999999999996</v>
      </c>
      <c r="Y17" s="399">
        <v>0</v>
      </c>
      <c r="Z17" s="399">
        <v>0</v>
      </c>
      <c r="AA17" s="399">
        <v>0</v>
      </c>
      <c r="AB17" s="399">
        <v>0</v>
      </c>
      <c r="AC17" s="399">
        <v>0</v>
      </c>
      <c r="AD17" s="399">
        <v>2532.9609255797309</v>
      </c>
      <c r="AE17" s="399">
        <v>4145.4156720438268</v>
      </c>
      <c r="AF17" s="399"/>
      <c r="AG17" s="399"/>
      <c r="AH17" s="399"/>
      <c r="AI17" s="399">
        <v>0</v>
      </c>
      <c r="AJ17" s="399">
        <v>0</v>
      </c>
      <c r="AK17" s="399">
        <v>0</v>
      </c>
      <c r="AL17" s="399">
        <v>0</v>
      </c>
      <c r="AM17" s="399"/>
      <c r="AN17" s="399">
        <v>0</v>
      </c>
      <c r="AO17" s="399">
        <v>0</v>
      </c>
      <c r="AP17" s="399">
        <v>0</v>
      </c>
      <c r="AQ17" s="399">
        <v>0</v>
      </c>
      <c r="AR17" s="399">
        <v>0</v>
      </c>
      <c r="AS17" s="399"/>
      <c r="AT17" s="399"/>
      <c r="AU17" s="399">
        <v>0</v>
      </c>
      <c r="AV17" s="399">
        <v>0</v>
      </c>
      <c r="AW17" s="399">
        <v>0</v>
      </c>
      <c r="AX17" s="399"/>
      <c r="AY17" s="399"/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/>
      <c r="BG17" s="399">
        <v>0</v>
      </c>
      <c r="BH17" s="399">
        <v>0</v>
      </c>
      <c r="BI17" s="399">
        <v>52.44</v>
      </c>
      <c r="BJ17" s="399">
        <v>242.05</v>
      </c>
      <c r="BK17" s="399">
        <v>2849.14</v>
      </c>
      <c r="BL17" s="399">
        <v>1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0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4875.3999999999996</v>
      </c>
      <c r="CJ17" s="399">
        <v>-1803.130000000001</v>
      </c>
      <c r="CK17" s="399"/>
      <c r="CL17" s="399"/>
      <c r="CM17" s="399"/>
      <c r="CN17" s="399"/>
      <c r="CO17" s="399">
        <v>-1803.0999999999997</v>
      </c>
      <c r="CP17" s="399">
        <v>0</v>
      </c>
      <c r="CQ17" s="399">
        <v>30</v>
      </c>
      <c r="CR17" s="399">
        <v>-12.06374098333481</v>
      </c>
      <c r="CS17" s="399">
        <v>0</v>
      </c>
      <c r="CT17" s="399">
        <v>0</v>
      </c>
      <c r="CU17" s="399">
        <v>0</v>
      </c>
      <c r="CV17" s="399">
        <v>0</v>
      </c>
      <c r="CW17" s="399"/>
      <c r="CX17" s="399"/>
      <c r="CY17" s="399"/>
      <c r="CZ17" s="399">
        <v>-12.06374098333481</v>
      </c>
      <c r="DA17" s="399">
        <v>0</v>
      </c>
      <c r="DB17" s="399">
        <v>0</v>
      </c>
      <c r="DC17" s="399"/>
      <c r="DD17" s="399"/>
      <c r="DE17" s="399">
        <v>0</v>
      </c>
      <c r="DF17" s="399">
        <v>0</v>
      </c>
      <c r="DG17" s="399">
        <v>0</v>
      </c>
      <c r="DH17" s="399">
        <v>0</v>
      </c>
      <c r="DI17" s="399">
        <v>0</v>
      </c>
      <c r="DJ17" s="399"/>
      <c r="DK17" s="399">
        <v>0</v>
      </c>
      <c r="DL17" s="399">
        <v>0</v>
      </c>
      <c r="DM17" s="399"/>
      <c r="DN17" s="399">
        <v>0</v>
      </c>
      <c r="DO17" s="399">
        <v>0</v>
      </c>
      <c r="DP17" s="399">
        <v>0</v>
      </c>
      <c r="DQ17" s="399">
        <v>0</v>
      </c>
      <c r="DR17" s="399">
        <v>0</v>
      </c>
      <c r="DS17" s="399"/>
      <c r="DT17" s="399"/>
      <c r="DU17" s="399">
        <v>4145.4156720438268</v>
      </c>
      <c r="DV17" s="399"/>
      <c r="DW17" s="399">
        <v>0</v>
      </c>
      <c r="DX17" s="399">
        <v>0</v>
      </c>
      <c r="DY17" s="399">
        <v>-1803.1000000000004</v>
      </c>
      <c r="DZ17" s="399"/>
      <c r="EA17" s="399">
        <v>0</v>
      </c>
      <c r="EB17" s="399"/>
      <c r="EC17" s="399">
        <v>-1790.8999255669469</v>
      </c>
      <c r="ED17" s="399"/>
      <c r="EE17" s="399">
        <v>0</v>
      </c>
      <c r="EF17" s="399">
        <v>0</v>
      </c>
      <c r="EG17" s="399"/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/>
      <c r="EN17" s="399"/>
      <c r="EO17" s="399">
        <v>0</v>
      </c>
      <c r="EP17" s="399">
        <v>0</v>
      </c>
      <c r="EQ17" s="399"/>
      <c r="ER17" s="399">
        <v>0</v>
      </c>
      <c r="ES17" s="399"/>
      <c r="ET17" s="399">
        <v>0</v>
      </c>
      <c r="EU17" s="399"/>
      <c r="EV17" s="399">
        <v>218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2328</v>
      </c>
      <c r="D18" s="399" t="s">
        <v>1826</v>
      </c>
      <c r="E18" s="399" t="s">
        <v>918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2329</v>
      </c>
      <c r="K18" s="789">
        <v>44440</v>
      </c>
      <c r="L18" s="399">
        <v>0</v>
      </c>
      <c r="M18" s="399">
        <v>0</v>
      </c>
      <c r="N18" s="399">
        <v>220.108</v>
      </c>
      <c r="O18" s="399">
        <v>220.108</v>
      </c>
      <c r="P18" s="399">
        <v>220.108</v>
      </c>
      <c r="Q18" s="399">
        <v>220.108</v>
      </c>
      <c r="R18" s="399"/>
      <c r="S18" s="399">
        <v>521.86</v>
      </c>
      <c r="T18" s="399">
        <v>141.32</v>
      </c>
      <c r="U18" s="399"/>
      <c r="V18" s="399">
        <v>145971.22344</v>
      </c>
      <c r="W18" s="399">
        <v>145971.22344</v>
      </c>
      <c r="X18" s="399">
        <v>114088.57964</v>
      </c>
      <c r="Y18" s="399">
        <v>0</v>
      </c>
      <c r="Z18" s="399">
        <v>13355.502469164559</v>
      </c>
      <c r="AA18" s="399">
        <v>0</v>
      </c>
      <c r="AB18" s="399">
        <v>0</v>
      </c>
      <c r="AC18" s="399">
        <v>0</v>
      </c>
      <c r="AD18" s="399">
        <v>23673.452299755991</v>
      </c>
      <c r="AE18" s="399">
        <v>71524.269554613478</v>
      </c>
      <c r="AF18" s="399">
        <v>31105.427051480379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2065.0515719475907</v>
      </c>
      <c r="AM18" s="399"/>
      <c r="AN18" s="399">
        <v>305.26045196648039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3941.0112914044616</v>
      </c>
      <c r="BH18" s="399">
        <v>0</v>
      </c>
      <c r="BI18" s="399">
        <v>860.56</v>
      </c>
      <c r="BJ18" s="399">
        <v>3983.22</v>
      </c>
      <c r="BK18" s="399">
        <v>46478.68</v>
      </c>
      <c r="BL18" s="399">
        <v>581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35046.438342884838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114089.61630000001</v>
      </c>
      <c r="CJ18" s="399">
        <v>-31881.637139999992</v>
      </c>
      <c r="CK18" s="399"/>
      <c r="CL18" s="399"/>
      <c r="CM18" s="399"/>
      <c r="CN18" s="399"/>
      <c r="CO18" s="399">
        <v>-31882.643800000005</v>
      </c>
      <c r="CP18" s="399">
        <v>0</v>
      </c>
      <c r="CQ18" s="399">
        <v>30</v>
      </c>
      <c r="CR18" s="399">
        <v>-980.7434386722307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-112.74962587922346</v>
      </c>
      <c r="DA18" s="399">
        <v>0</v>
      </c>
      <c r="DB18" s="399">
        <v>0</v>
      </c>
      <c r="DC18" s="399">
        <v>0</v>
      </c>
      <c r="DD18" s="399">
        <v>0</v>
      </c>
      <c r="DE18" s="399">
        <v>0</v>
      </c>
      <c r="DF18" s="399">
        <v>0</v>
      </c>
      <c r="DG18" s="399">
        <v>0</v>
      </c>
      <c r="DH18" s="399">
        <v>0</v>
      </c>
      <c r="DI18" s="399">
        <v>-752.49790812216816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-103.18691496524775</v>
      </c>
      <c r="DP18" s="399">
        <v>-12.308989705602698</v>
      </c>
      <c r="DQ18" s="399">
        <v>0</v>
      </c>
      <c r="DR18" s="399">
        <v>0</v>
      </c>
      <c r="DS18" s="399"/>
      <c r="DT18" s="399"/>
      <c r="DU18" s="399"/>
      <c r="DV18" s="399">
        <v>71524.269554613478</v>
      </c>
      <c r="DW18" s="399">
        <v>0</v>
      </c>
      <c r="DX18" s="399">
        <v>0</v>
      </c>
      <c r="DY18" s="399">
        <v>-31882.643800000005</v>
      </c>
      <c r="DZ18" s="399">
        <v>0</v>
      </c>
      <c r="EA18" s="399">
        <v>0</v>
      </c>
      <c r="EB18" s="399">
        <v>0</v>
      </c>
      <c r="EC18" s="399">
        <v>-30899.870882775263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218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2361</v>
      </c>
      <c r="C19" s="399" t="s">
        <v>2328</v>
      </c>
      <c r="D19" s="399" t="s">
        <v>1826</v>
      </c>
      <c r="E19" s="399" t="s">
        <v>918</v>
      </c>
      <c r="F19" s="399" t="s">
        <v>1239</v>
      </c>
      <c r="G19" s="399" t="s">
        <v>1239</v>
      </c>
      <c r="H19" s="399" t="s">
        <v>1239</v>
      </c>
      <c r="I19" s="399" t="s">
        <v>1239</v>
      </c>
      <c r="J19" s="399" t="s">
        <v>2329</v>
      </c>
      <c r="K19" s="789">
        <v>44440</v>
      </c>
      <c r="L19" s="399">
        <v>0</v>
      </c>
      <c r="M19" s="399">
        <v>0</v>
      </c>
      <c r="N19" s="399">
        <v>6.907</v>
      </c>
      <c r="O19" s="399">
        <v>6.907</v>
      </c>
      <c r="P19" s="399">
        <v>6.907</v>
      </c>
      <c r="Q19" s="399">
        <v>6.907</v>
      </c>
      <c r="R19" s="399"/>
      <c r="S19" s="399">
        <v>521.86</v>
      </c>
      <c r="T19" s="399">
        <v>141.32</v>
      </c>
      <c r="U19" s="399"/>
      <c r="V19" s="399">
        <v>4580.5842599999996</v>
      </c>
      <c r="W19" s="399">
        <v>4580.5842599999996</v>
      </c>
      <c r="X19" s="399">
        <v>3580.1053099999999</v>
      </c>
      <c r="Y19" s="399">
        <v>0</v>
      </c>
      <c r="Z19" s="399">
        <v>419.0963325027696</v>
      </c>
      <c r="AA19" s="399">
        <v>0</v>
      </c>
      <c r="AB19" s="399">
        <v>0</v>
      </c>
      <c r="AC19" s="399">
        <v>0</v>
      </c>
      <c r="AD19" s="399">
        <v>742.87411195601533</v>
      </c>
      <c r="AE19" s="399">
        <v>2244.4351400844826</v>
      </c>
      <c r="AF19" s="399">
        <v>976.08984973092743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64.801421154351544</v>
      </c>
      <c r="AM19" s="399"/>
      <c r="AN19" s="399">
        <v>9.5790881827670056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123.6691305619542</v>
      </c>
      <c r="BH19" s="399">
        <v>0</v>
      </c>
      <c r="BI19" s="399">
        <v>29.75</v>
      </c>
      <c r="BJ19" s="399">
        <v>137.91999999999999</v>
      </c>
      <c r="BK19" s="399">
        <v>4216.47</v>
      </c>
      <c r="BL19" s="399">
        <v>24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1099.7589802928817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3581.6603</v>
      </c>
      <c r="CJ19" s="399">
        <v>-998.95396000000028</v>
      </c>
      <c r="CK19" s="399"/>
      <c r="CL19" s="399"/>
      <c r="CM19" s="399"/>
      <c r="CN19" s="399"/>
      <c r="CO19" s="399">
        <v>-1000.4789500000002</v>
      </c>
      <c r="CP19" s="399">
        <v>0</v>
      </c>
      <c r="CQ19" s="399">
        <v>30</v>
      </c>
      <c r="CR19" s="399">
        <v>-30.775777940415992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-3.5380888743152354</v>
      </c>
      <c r="DA19" s="399">
        <v>0</v>
      </c>
      <c r="DB19" s="399">
        <v>0</v>
      </c>
      <c r="DC19" s="399">
        <v>0</v>
      </c>
      <c r="DD19" s="399">
        <v>0</v>
      </c>
      <c r="DE19" s="399">
        <v>0</v>
      </c>
      <c r="DF19" s="399">
        <v>0</v>
      </c>
      <c r="DG19" s="399">
        <v>0</v>
      </c>
      <c r="DH19" s="399">
        <v>0</v>
      </c>
      <c r="DI19" s="399">
        <v>-23.613421826557044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-3.2380105296716479</v>
      </c>
      <c r="DP19" s="399">
        <v>-0.38625670987241634</v>
      </c>
      <c r="DQ19" s="399">
        <v>0</v>
      </c>
      <c r="DR19" s="399">
        <v>0</v>
      </c>
      <c r="DS19" s="399"/>
      <c r="DT19" s="399"/>
      <c r="DU19" s="399"/>
      <c r="DV19" s="399">
        <v>2244.4351400844826</v>
      </c>
      <c r="DW19" s="399">
        <v>0</v>
      </c>
      <c r="DX19" s="399">
        <v>0</v>
      </c>
      <c r="DY19" s="399">
        <v>-1000.4789500000002</v>
      </c>
      <c r="DZ19" s="399">
        <v>0</v>
      </c>
      <c r="EA19" s="399">
        <v>0</v>
      </c>
      <c r="EB19" s="399">
        <v>0</v>
      </c>
      <c r="EC19" s="399">
        <v>-969.639486921551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0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218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2334</v>
      </c>
      <c r="D20" s="399" t="s">
        <v>533</v>
      </c>
      <c r="E20" s="399" t="s">
        <v>918</v>
      </c>
      <c r="F20" s="399" t="s">
        <v>1239</v>
      </c>
      <c r="G20" s="399" t="s">
        <v>1239</v>
      </c>
      <c r="H20" s="399" t="s">
        <v>1239</v>
      </c>
      <c r="I20" s="399" t="s">
        <v>893</v>
      </c>
      <c r="J20" s="399" t="s">
        <v>2329</v>
      </c>
      <c r="K20" s="789">
        <v>44440</v>
      </c>
      <c r="L20" s="399">
        <v>0</v>
      </c>
      <c r="M20" s="399">
        <v>0</v>
      </c>
      <c r="N20" s="399">
        <v>2.1179999999999999</v>
      </c>
      <c r="O20" s="399">
        <v>2.1179999999999999</v>
      </c>
      <c r="P20" s="399">
        <v>2.1179999999999999</v>
      </c>
      <c r="Q20" s="399">
        <v>2.1179999999999999</v>
      </c>
      <c r="R20" s="399"/>
      <c r="S20" s="399">
        <v>2741.05</v>
      </c>
      <c r="T20" s="399">
        <v>141.32</v>
      </c>
      <c r="U20" s="399"/>
      <c r="V20" s="399">
        <v>6104.8596600000001</v>
      </c>
      <c r="W20" s="399">
        <v>6104.8596600000001</v>
      </c>
      <c r="X20" s="399">
        <v>4371.2978399999993</v>
      </c>
      <c r="Y20" s="399">
        <v>0</v>
      </c>
      <c r="Z20" s="399">
        <v>111.80715912111675</v>
      </c>
      <c r="AA20" s="399">
        <v>0</v>
      </c>
      <c r="AB20" s="399">
        <v>0</v>
      </c>
      <c r="AC20" s="399">
        <v>0</v>
      </c>
      <c r="AD20" s="399">
        <v>1680.7632127931336</v>
      </c>
      <c r="AE20" s="399">
        <v>3977.1989038692782</v>
      </c>
      <c r="AF20" s="399">
        <v>299.31349380774634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19.871059795123291</v>
      </c>
      <c r="AM20" s="399"/>
      <c r="AN20" s="399">
        <v>1.2723724295335916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14.641645943851341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313.9551397515977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4375.4256000000005</v>
      </c>
      <c r="CJ20" s="399">
        <v>-1729.4640600000002</v>
      </c>
      <c r="CK20" s="399"/>
      <c r="CL20" s="399"/>
      <c r="CM20" s="399"/>
      <c r="CN20" s="399"/>
      <c r="CO20" s="399">
        <v>-1733.5618200000004</v>
      </c>
      <c r="CP20" s="399">
        <v>0</v>
      </c>
      <c r="CQ20" s="399">
        <v>30</v>
      </c>
      <c r="CR20" s="399">
        <v>-15.348827856593743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-8.0049762508044751</v>
      </c>
      <c r="DA20" s="399">
        <v>0</v>
      </c>
      <c r="DB20" s="399">
        <v>0</v>
      </c>
      <c r="DC20" s="399">
        <v>0</v>
      </c>
      <c r="DD20" s="399">
        <v>0</v>
      </c>
      <c r="DE20" s="399">
        <v>0</v>
      </c>
      <c r="DF20" s="399">
        <v>0</v>
      </c>
      <c r="DG20" s="399">
        <v>0</v>
      </c>
      <c r="DH20" s="399">
        <v>0</v>
      </c>
      <c r="DI20" s="399">
        <v>-6.2996247086904447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-0.99292113824302319</v>
      </c>
      <c r="DP20" s="399">
        <v>-5.1305758855861194E-2</v>
      </c>
      <c r="DQ20" s="399">
        <v>0</v>
      </c>
      <c r="DR20" s="399">
        <v>0</v>
      </c>
      <c r="DS20" s="399"/>
      <c r="DT20" s="399"/>
      <c r="DU20" s="399"/>
      <c r="DV20" s="399">
        <v>3977.1989038692782</v>
      </c>
      <c r="DW20" s="399">
        <v>0</v>
      </c>
      <c r="DX20" s="399">
        <v>0</v>
      </c>
      <c r="DY20" s="399">
        <v>-1733.5618199999999</v>
      </c>
      <c r="DZ20" s="399">
        <v>0</v>
      </c>
      <c r="EA20" s="399">
        <v>0</v>
      </c>
      <c r="EB20" s="399">
        <v>0</v>
      </c>
      <c r="EC20" s="399">
        <v>-1718.2270209811531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218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2334</v>
      </c>
      <c r="D21" s="399" t="s">
        <v>533</v>
      </c>
      <c r="E21" s="399" t="s">
        <v>918</v>
      </c>
      <c r="F21" s="399" t="s">
        <v>1239</v>
      </c>
      <c r="G21" s="399" t="s">
        <v>1239</v>
      </c>
      <c r="H21" s="399" t="s">
        <v>1239</v>
      </c>
      <c r="I21" s="399" t="s">
        <v>2326</v>
      </c>
      <c r="J21" s="399" t="s">
        <v>2329</v>
      </c>
      <c r="K21" s="789">
        <v>44440</v>
      </c>
      <c r="L21" s="399">
        <v>0</v>
      </c>
      <c r="M21" s="399">
        <v>0</v>
      </c>
      <c r="N21" s="399">
        <v>29.594000000000001</v>
      </c>
      <c r="O21" s="399">
        <v>29.594000000000001</v>
      </c>
      <c r="P21" s="399">
        <v>29.594000000000001</v>
      </c>
      <c r="Q21" s="399">
        <v>29.594000000000001</v>
      </c>
      <c r="R21" s="399"/>
      <c r="S21" s="399">
        <v>69.680000000000007</v>
      </c>
      <c r="T21" s="399">
        <v>141.32</v>
      </c>
      <c r="U21" s="399"/>
      <c r="V21" s="399">
        <v>6244.3340000000007</v>
      </c>
      <c r="W21" s="399">
        <v>6244.3340000000007</v>
      </c>
      <c r="X21" s="399">
        <v>6141.93876</v>
      </c>
      <c r="Y21" s="399">
        <v>0</v>
      </c>
      <c r="Z21" s="399">
        <v>1562.2384641314115</v>
      </c>
      <c r="AA21" s="399">
        <v>0</v>
      </c>
      <c r="AB21" s="399">
        <v>0</v>
      </c>
      <c r="AC21" s="399">
        <v>0</v>
      </c>
      <c r="AD21" s="399">
        <v>0</v>
      </c>
      <c r="AE21" s="399">
        <v>0</v>
      </c>
      <c r="AF21" s="399">
        <v>4182.1924153665941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277.65068157548569</v>
      </c>
      <c r="AM21" s="399"/>
      <c r="AN21" s="399">
        <v>17.778370953549157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204.58209162527697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4386.774506991871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6141.1085999999996</v>
      </c>
      <c r="CJ21" s="399">
        <v>-103.25540000000183</v>
      </c>
      <c r="CK21" s="399"/>
      <c r="CL21" s="399"/>
      <c r="CM21" s="399"/>
      <c r="CN21" s="399"/>
      <c r="CO21" s="399">
        <v>-102.39524000000024</v>
      </c>
      <c r="CP21" s="399">
        <v>0</v>
      </c>
      <c r="CQ21" s="399">
        <v>30</v>
      </c>
      <c r="CR21" s="399">
        <v>-102.61281606313878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0</v>
      </c>
      <c r="DA21" s="399">
        <v>0</v>
      </c>
      <c r="DB21" s="399">
        <v>0</v>
      </c>
      <c r="DC21" s="399">
        <v>0</v>
      </c>
      <c r="DD21" s="399">
        <v>0</v>
      </c>
      <c r="DE21" s="399">
        <v>0</v>
      </c>
      <c r="DF21" s="399">
        <v>0</v>
      </c>
      <c r="DG21" s="399">
        <v>0</v>
      </c>
      <c r="DH21" s="399">
        <v>0</v>
      </c>
      <c r="DI21" s="399">
        <v>-88.022234952306462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-13.873705460417341</v>
      </c>
      <c r="DP21" s="399">
        <v>-0.71687565041565193</v>
      </c>
      <c r="DQ21" s="399">
        <v>0</v>
      </c>
      <c r="DR21" s="399">
        <v>0</v>
      </c>
      <c r="DS21" s="399"/>
      <c r="DT21" s="399"/>
      <c r="DU21" s="399"/>
      <c r="DV21" s="399">
        <v>0</v>
      </c>
      <c r="DW21" s="399">
        <v>0</v>
      </c>
      <c r="DX21" s="399">
        <v>0</v>
      </c>
      <c r="DY21" s="399">
        <v>-102.39524000000029</v>
      </c>
      <c r="DZ21" s="399">
        <v>0</v>
      </c>
      <c r="EA21" s="399">
        <v>0</v>
      </c>
      <c r="EB21" s="399">
        <v>0</v>
      </c>
      <c r="EC21" s="399">
        <v>0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218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2334</v>
      </c>
      <c r="D22" s="399" t="s">
        <v>533</v>
      </c>
      <c r="E22" s="399" t="s">
        <v>918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2329</v>
      </c>
      <c r="K22" s="789">
        <v>44440</v>
      </c>
      <c r="L22" s="399">
        <v>263</v>
      </c>
      <c r="M22" s="399">
        <v>263</v>
      </c>
      <c r="N22" s="399">
        <v>0</v>
      </c>
      <c r="O22" s="399">
        <v>0</v>
      </c>
      <c r="P22" s="399">
        <v>0</v>
      </c>
      <c r="Q22" s="399">
        <v>0</v>
      </c>
      <c r="R22" s="399">
        <v>35.15</v>
      </c>
      <c r="S22" s="399"/>
      <c r="T22" s="399"/>
      <c r="U22" s="399">
        <v>9244.4499999999989</v>
      </c>
      <c r="V22" s="399"/>
      <c r="W22" s="399">
        <v>9244.4499999999989</v>
      </c>
      <c r="X22" s="399">
        <v>6748.58</v>
      </c>
      <c r="Y22" s="399">
        <v>0</v>
      </c>
      <c r="Z22" s="399">
        <v>0</v>
      </c>
      <c r="AA22" s="399">
        <v>0</v>
      </c>
      <c r="AB22" s="399">
        <v>0</v>
      </c>
      <c r="AC22" s="399">
        <v>0</v>
      </c>
      <c r="AD22" s="399">
        <v>3506.1511759340488</v>
      </c>
      <c r="AE22" s="399">
        <v>5738.1280091975077</v>
      </c>
      <c r="AF22" s="399"/>
      <c r="AG22" s="399"/>
      <c r="AH22" s="399"/>
      <c r="AI22" s="399">
        <v>0</v>
      </c>
      <c r="AJ22" s="399">
        <v>0</v>
      </c>
      <c r="AK22" s="399">
        <v>0</v>
      </c>
      <c r="AL22" s="399">
        <v>0</v>
      </c>
      <c r="AM22" s="399"/>
      <c r="AN22" s="399">
        <v>0</v>
      </c>
      <c r="AO22" s="399">
        <v>0</v>
      </c>
      <c r="AP22" s="399">
        <v>0</v>
      </c>
      <c r="AQ22" s="399">
        <v>0</v>
      </c>
      <c r="AR22" s="399">
        <v>0</v>
      </c>
      <c r="AS22" s="399"/>
      <c r="AT22" s="399"/>
      <c r="AU22" s="399">
        <v>0</v>
      </c>
      <c r="AV22" s="399">
        <v>0</v>
      </c>
      <c r="AW22" s="399">
        <v>0</v>
      </c>
      <c r="AX22" s="399"/>
      <c r="AY22" s="399"/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/>
      <c r="BG22" s="399">
        <v>0</v>
      </c>
      <c r="BH22" s="399">
        <v>0</v>
      </c>
      <c r="BI22" s="399">
        <v>145.83000000000001</v>
      </c>
      <c r="BJ22" s="399">
        <v>673.13</v>
      </c>
      <c r="BK22" s="399">
        <v>7048.85</v>
      </c>
      <c r="BL22" s="399">
        <v>3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0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6748.58</v>
      </c>
      <c r="CJ22" s="399">
        <v>-2495.8999999999996</v>
      </c>
      <c r="CK22" s="399"/>
      <c r="CL22" s="399"/>
      <c r="CM22" s="399"/>
      <c r="CN22" s="399"/>
      <c r="CO22" s="399">
        <v>-2495.8699999999994</v>
      </c>
      <c r="CP22" s="399">
        <v>0</v>
      </c>
      <c r="CQ22" s="399">
        <v>30</v>
      </c>
      <c r="CR22" s="399">
        <v>-16.698757255879173</v>
      </c>
      <c r="CS22" s="399">
        <v>0</v>
      </c>
      <c r="CT22" s="399">
        <v>0</v>
      </c>
      <c r="CU22" s="399">
        <v>0</v>
      </c>
      <c r="CV22" s="399">
        <v>0</v>
      </c>
      <c r="CW22" s="399"/>
      <c r="CX22" s="399"/>
      <c r="CY22" s="399"/>
      <c r="CZ22" s="399">
        <v>-16.698757255879173</v>
      </c>
      <c r="DA22" s="399">
        <v>0</v>
      </c>
      <c r="DB22" s="399">
        <v>0</v>
      </c>
      <c r="DC22" s="399"/>
      <c r="DD22" s="399"/>
      <c r="DE22" s="399">
        <v>0</v>
      </c>
      <c r="DF22" s="399">
        <v>0</v>
      </c>
      <c r="DG22" s="399">
        <v>0</v>
      </c>
      <c r="DH22" s="399">
        <v>0</v>
      </c>
      <c r="DI22" s="399">
        <v>0</v>
      </c>
      <c r="DJ22" s="399"/>
      <c r="DK22" s="399">
        <v>0</v>
      </c>
      <c r="DL22" s="399">
        <v>0</v>
      </c>
      <c r="DM22" s="399"/>
      <c r="DN22" s="399">
        <v>0</v>
      </c>
      <c r="DO22" s="399">
        <v>0</v>
      </c>
      <c r="DP22" s="399">
        <v>0</v>
      </c>
      <c r="DQ22" s="399">
        <v>0</v>
      </c>
      <c r="DR22" s="399">
        <v>0</v>
      </c>
      <c r="DS22" s="399"/>
      <c r="DT22" s="399"/>
      <c r="DU22" s="399">
        <v>5738.1280091975077</v>
      </c>
      <c r="DV22" s="399"/>
      <c r="DW22" s="399">
        <v>0</v>
      </c>
      <c r="DX22" s="399">
        <v>0</v>
      </c>
      <c r="DY22" s="399">
        <v>-2495.869999999999</v>
      </c>
      <c r="DZ22" s="399"/>
      <c r="EA22" s="399">
        <v>0</v>
      </c>
      <c r="EB22" s="399"/>
      <c r="EC22" s="399">
        <v>-2478.9825285479319</v>
      </c>
      <c r="ED22" s="399"/>
      <c r="EE22" s="399">
        <v>0</v>
      </c>
      <c r="EF22" s="399">
        <v>0</v>
      </c>
      <c r="EG22" s="399"/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/>
      <c r="EN22" s="399"/>
      <c r="EO22" s="399">
        <v>0</v>
      </c>
      <c r="EP22" s="399">
        <v>0</v>
      </c>
      <c r="EQ22" s="399"/>
      <c r="ER22" s="399">
        <v>0</v>
      </c>
      <c r="ES22" s="399"/>
      <c r="ET22" s="399">
        <v>0</v>
      </c>
      <c r="EU22" s="399"/>
      <c r="EV22" s="399">
        <v>218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2328</v>
      </c>
      <c r="D23" s="399" t="s">
        <v>2335</v>
      </c>
      <c r="E23" s="399" t="s">
        <v>894</v>
      </c>
      <c r="F23" s="399" t="s">
        <v>1239</v>
      </c>
      <c r="G23" s="399" t="s">
        <v>1239</v>
      </c>
      <c r="H23" s="399" t="s">
        <v>1239</v>
      </c>
      <c r="I23" s="399" t="s">
        <v>1239</v>
      </c>
      <c r="J23" s="399" t="s">
        <v>2329</v>
      </c>
      <c r="K23" s="789">
        <v>44440</v>
      </c>
      <c r="L23" s="399">
        <v>0</v>
      </c>
      <c r="M23" s="399">
        <v>0</v>
      </c>
      <c r="N23" s="399">
        <v>3318.7579999999998</v>
      </c>
      <c r="O23" s="399">
        <v>3318.7579999999998</v>
      </c>
      <c r="P23" s="399">
        <v>3318.7579999999998</v>
      </c>
      <c r="Q23" s="399">
        <v>3318.7579999999998</v>
      </c>
      <c r="R23" s="399"/>
      <c r="S23" s="399">
        <v>521.86</v>
      </c>
      <c r="T23" s="399">
        <v>141.32</v>
      </c>
      <c r="U23" s="399"/>
      <c r="V23" s="399">
        <v>2200933.9304399998</v>
      </c>
      <c r="W23" s="399">
        <v>2200933.9304399998</v>
      </c>
      <c r="X23" s="399">
        <v>1720211.8341399999</v>
      </c>
      <c r="Y23" s="399">
        <v>0</v>
      </c>
      <c r="Z23" s="399">
        <v>201372.42019172237</v>
      </c>
      <c r="AA23" s="399">
        <v>0</v>
      </c>
      <c r="AB23" s="399">
        <v>0</v>
      </c>
      <c r="AC23" s="399">
        <v>0</v>
      </c>
      <c r="AD23" s="399">
        <v>356945.04155884194</v>
      </c>
      <c r="AE23" s="399">
        <v>1078433.0500414791</v>
      </c>
      <c r="AF23" s="399">
        <v>469003.32959509379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31136.562164090548</v>
      </c>
      <c r="AM23" s="399"/>
      <c r="AN23" s="399">
        <v>4602.6749007186127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59422.023513179382</v>
      </c>
      <c r="BH23" s="399">
        <v>0</v>
      </c>
      <c r="BI23" s="399">
        <v>14386.98</v>
      </c>
      <c r="BJ23" s="399">
        <v>66550.52</v>
      </c>
      <c r="BK23" s="399">
        <v>497836.13</v>
      </c>
      <c r="BL23" s="399">
        <v>6547</v>
      </c>
      <c r="BM23" s="399"/>
      <c r="BN23" s="399"/>
      <c r="BO23" s="399"/>
      <c r="BP23" s="399"/>
      <c r="BQ23" s="399"/>
      <c r="BR23" s="399">
        <v>206426.7476</v>
      </c>
      <c r="BS23" s="399"/>
      <c r="BT23" s="399"/>
      <c r="BU23" s="399"/>
      <c r="BV23" s="399">
        <v>528425.35310827312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1513785.9988000002</v>
      </c>
      <c r="CJ23" s="399">
        <v>-423008.01241999981</v>
      </c>
      <c r="CK23" s="399"/>
      <c r="CL23" s="399"/>
      <c r="CM23" s="399"/>
      <c r="CN23" s="399"/>
      <c r="CO23" s="399">
        <v>-480722.09630000003</v>
      </c>
      <c r="CP23" s="399">
        <v>0</v>
      </c>
      <c r="CQ23" s="399">
        <v>30</v>
      </c>
      <c r="CR23" s="399">
        <v>-14787.514006946469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-1700.0232744092355</v>
      </c>
      <c r="DA23" s="399">
        <v>0</v>
      </c>
      <c r="DB23" s="399">
        <v>0</v>
      </c>
      <c r="DC23" s="399">
        <v>0</v>
      </c>
      <c r="DD23" s="399">
        <v>0</v>
      </c>
      <c r="DE23" s="399">
        <v>0</v>
      </c>
      <c r="DF23" s="399">
        <v>0</v>
      </c>
      <c r="DG23" s="399">
        <v>0</v>
      </c>
      <c r="DH23" s="399">
        <v>0</v>
      </c>
      <c r="DI23" s="399">
        <v>-11346.059446106956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-1555.8380410354766</v>
      </c>
      <c r="DP23" s="399">
        <v>-185.59324539492718</v>
      </c>
      <c r="DQ23" s="399">
        <v>0</v>
      </c>
      <c r="DR23" s="399">
        <v>0</v>
      </c>
      <c r="DS23" s="399"/>
      <c r="DT23" s="399"/>
      <c r="DU23" s="399"/>
      <c r="DV23" s="399">
        <v>1078433.0500414791</v>
      </c>
      <c r="DW23" s="399">
        <v>0</v>
      </c>
      <c r="DX23" s="399">
        <v>0</v>
      </c>
      <c r="DY23" s="399">
        <v>-480722.09629999986</v>
      </c>
      <c r="DZ23" s="399">
        <v>0</v>
      </c>
      <c r="EA23" s="399">
        <v>0</v>
      </c>
      <c r="EB23" s="399">
        <v>0</v>
      </c>
      <c r="EC23" s="399">
        <v>-465903.98209595936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218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2360</v>
      </c>
      <c r="C24" s="399" t="s">
        <v>2328</v>
      </c>
      <c r="D24" s="399" t="s">
        <v>2335</v>
      </c>
      <c r="E24" s="399" t="s">
        <v>894</v>
      </c>
      <c r="F24" s="399" t="s">
        <v>1239</v>
      </c>
      <c r="G24" s="399" t="s">
        <v>1239</v>
      </c>
      <c r="H24" s="399" t="s">
        <v>1239</v>
      </c>
      <c r="I24" s="399" t="s">
        <v>1239</v>
      </c>
      <c r="J24" s="399" t="s">
        <v>2329</v>
      </c>
      <c r="K24" s="789">
        <v>44440</v>
      </c>
      <c r="L24" s="399">
        <v>0</v>
      </c>
      <c r="M24" s="399">
        <v>0</v>
      </c>
      <c r="N24" s="399">
        <v>-2.5430000000000001</v>
      </c>
      <c r="O24" s="399">
        <v>-2.5430000000000001</v>
      </c>
      <c r="P24" s="399">
        <v>-2.5430000000000001</v>
      </c>
      <c r="Q24" s="399">
        <v>-2.5430000000000001</v>
      </c>
      <c r="R24" s="399"/>
      <c r="S24" s="399">
        <v>521.86</v>
      </c>
      <c r="T24" s="399">
        <v>141.32</v>
      </c>
      <c r="U24" s="399"/>
      <c r="V24" s="399">
        <v>-1686.4667400000003</v>
      </c>
      <c r="W24" s="399">
        <v>-1686.4667400000003</v>
      </c>
      <c r="X24" s="399">
        <v>-1318.11319</v>
      </c>
      <c r="Y24" s="399">
        <v>0</v>
      </c>
      <c r="Z24" s="399">
        <v>-154.30171906103129</v>
      </c>
      <c r="AA24" s="399">
        <v>0</v>
      </c>
      <c r="AB24" s="399">
        <v>0</v>
      </c>
      <c r="AC24" s="399">
        <v>0</v>
      </c>
      <c r="AD24" s="399">
        <v>-273.50931905373494</v>
      </c>
      <c r="AE24" s="399">
        <v>-826.34987132399579</v>
      </c>
      <c r="AF24" s="399">
        <v>-359.37403907134046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-23.858406543436512</v>
      </c>
      <c r="AM24" s="399"/>
      <c r="AN24" s="399">
        <v>-3.5268019760788323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-45.532155641964607</v>
      </c>
      <c r="BH24" s="399">
        <v>0</v>
      </c>
      <c r="BI24" s="399">
        <v>-14.06</v>
      </c>
      <c r="BJ24" s="399">
        <v>-64.87</v>
      </c>
      <c r="BK24" s="399">
        <v>-540.59</v>
      </c>
      <c r="BL24" s="399">
        <v>0</v>
      </c>
      <c r="BM24" s="399"/>
      <c r="BN24" s="399"/>
      <c r="BO24" s="399"/>
      <c r="BP24" s="399"/>
      <c r="BQ24" s="399"/>
      <c r="BR24" s="399">
        <v>-158.17460000000003</v>
      </c>
      <c r="BS24" s="399"/>
      <c r="BT24" s="399"/>
      <c r="BU24" s="399"/>
      <c r="BV24" s="399">
        <v>-404.90619471330507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-1158.5701999999999</v>
      </c>
      <c r="CJ24" s="399">
        <v>325.4691700000003</v>
      </c>
      <c r="CK24" s="399"/>
      <c r="CL24" s="399"/>
      <c r="CM24" s="399"/>
      <c r="CN24" s="399"/>
      <c r="CO24" s="399">
        <v>368.3535500000001</v>
      </c>
      <c r="CP24" s="399">
        <v>0</v>
      </c>
      <c r="CQ24" s="399">
        <v>30</v>
      </c>
      <c r="CR24" s="399">
        <v>11.330940104601041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1.3026436958714385</v>
      </c>
      <c r="DA24" s="399">
        <v>0</v>
      </c>
      <c r="DB24" s="399">
        <v>0</v>
      </c>
      <c r="DC24" s="399">
        <v>0</v>
      </c>
      <c r="DD24" s="399">
        <v>0</v>
      </c>
      <c r="DE24" s="399">
        <v>0</v>
      </c>
      <c r="DF24" s="399">
        <v>0</v>
      </c>
      <c r="DG24" s="399">
        <v>0</v>
      </c>
      <c r="DH24" s="399">
        <v>0</v>
      </c>
      <c r="DI24" s="399">
        <v>8.6939238026544956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1.1921616877016064</v>
      </c>
      <c r="DP24" s="399">
        <v>0.14221091837346966</v>
      </c>
      <c r="DQ24" s="399">
        <v>0</v>
      </c>
      <c r="DR24" s="399">
        <v>0</v>
      </c>
      <c r="DS24" s="399"/>
      <c r="DT24" s="399"/>
      <c r="DU24" s="399"/>
      <c r="DV24" s="399">
        <v>-826.34987132399579</v>
      </c>
      <c r="DW24" s="399">
        <v>0</v>
      </c>
      <c r="DX24" s="399">
        <v>0</v>
      </c>
      <c r="DY24" s="399">
        <v>368.35355000000015</v>
      </c>
      <c r="DZ24" s="399">
        <v>0</v>
      </c>
      <c r="EA24" s="399">
        <v>0</v>
      </c>
      <c r="EB24" s="399">
        <v>0</v>
      </c>
      <c r="EC24" s="399">
        <v>356.99916247886256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218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2361</v>
      </c>
      <c r="C25" s="399" t="s">
        <v>2328</v>
      </c>
      <c r="D25" s="399" t="s">
        <v>2335</v>
      </c>
      <c r="E25" s="399" t="s">
        <v>894</v>
      </c>
      <c r="F25" s="399" t="s">
        <v>1239</v>
      </c>
      <c r="G25" s="399" t="s">
        <v>1239</v>
      </c>
      <c r="H25" s="399" t="s">
        <v>1239</v>
      </c>
      <c r="I25" s="399" t="s">
        <v>1239</v>
      </c>
      <c r="J25" s="399" t="s">
        <v>2329</v>
      </c>
      <c r="K25" s="789">
        <v>44440</v>
      </c>
      <c r="L25" s="399">
        <v>0</v>
      </c>
      <c r="M25" s="399">
        <v>0</v>
      </c>
      <c r="N25" s="399">
        <v>225.55</v>
      </c>
      <c r="O25" s="399">
        <v>225.55</v>
      </c>
      <c r="P25" s="399">
        <v>225.55</v>
      </c>
      <c r="Q25" s="399">
        <v>225.55</v>
      </c>
      <c r="R25" s="399"/>
      <c r="S25" s="399">
        <v>521.86</v>
      </c>
      <c r="T25" s="399">
        <v>141.32</v>
      </c>
      <c r="U25" s="399"/>
      <c r="V25" s="399">
        <v>149580.24900000001</v>
      </c>
      <c r="W25" s="399">
        <v>149580.24900000001</v>
      </c>
      <c r="X25" s="399">
        <v>116909.3315</v>
      </c>
      <c r="Y25" s="399">
        <v>0</v>
      </c>
      <c r="Z25" s="399">
        <v>13685.706934414316</v>
      </c>
      <c r="AA25" s="399">
        <v>0</v>
      </c>
      <c r="AB25" s="399">
        <v>0</v>
      </c>
      <c r="AC25" s="399">
        <v>0</v>
      </c>
      <c r="AD25" s="399">
        <v>24258.76009145494</v>
      </c>
      <c r="AE25" s="399">
        <v>73292.651780230924</v>
      </c>
      <c r="AF25" s="399">
        <v>31874.484668714445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2116.1083743106979</v>
      </c>
      <c r="AM25" s="399"/>
      <c r="AN25" s="399">
        <v>312.8077804579554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4038.4497463803059</v>
      </c>
      <c r="BH25" s="399">
        <v>0</v>
      </c>
      <c r="BI25" s="399">
        <v>980.49</v>
      </c>
      <c r="BJ25" s="399">
        <v>4537.17</v>
      </c>
      <c r="BK25" s="399">
        <v>96412.64</v>
      </c>
      <c r="BL25" s="399">
        <v>405</v>
      </c>
      <c r="BM25" s="399"/>
      <c r="BN25" s="399"/>
      <c r="BO25" s="399"/>
      <c r="BP25" s="399"/>
      <c r="BQ25" s="399"/>
      <c r="BR25" s="399">
        <v>14029.210000000003</v>
      </c>
      <c r="BS25" s="399"/>
      <c r="BT25" s="399"/>
      <c r="BU25" s="399"/>
      <c r="BV25" s="399">
        <v>35912.934415094751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102880.12149999999</v>
      </c>
      <c r="CJ25" s="399">
        <v>-28748.633000000016</v>
      </c>
      <c r="CK25" s="399"/>
      <c r="CL25" s="399"/>
      <c r="CM25" s="399"/>
      <c r="CN25" s="399"/>
      <c r="CO25" s="399">
        <v>-32670.917500000007</v>
      </c>
      <c r="CP25" s="399">
        <v>0</v>
      </c>
      <c r="CQ25" s="399">
        <v>30</v>
      </c>
      <c r="CR25" s="399">
        <v>-1004.9915613813355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-115.53727314345088</v>
      </c>
      <c r="DA25" s="399">
        <v>0</v>
      </c>
      <c r="DB25" s="399">
        <v>0</v>
      </c>
      <c r="DC25" s="399">
        <v>0</v>
      </c>
      <c r="DD25" s="399">
        <v>0</v>
      </c>
      <c r="DE25" s="399">
        <v>0</v>
      </c>
      <c r="DF25" s="399">
        <v>0</v>
      </c>
      <c r="DG25" s="399">
        <v>0</v>
      </c>
      <c r="DH25" s="399">
        <v>0</v>
      </c>
      <c r="DI25" s="399">
        <v>-771.10283668451484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-105.73813160090322</v>
      </c>
      <c r="DP25" s="399">
        <v>-12.613319952471898</v>
      </c>
      <c r="DQ25" s="399">
        <v>0</v>
      </c>
      <c r="DR25" s="399">
        <v>0</v>
      </c>
      <c r="DS25" s="399"/>
      <c r="DT25" s="399"/>
      <c r="DU25" s="399"/>
      <c r="DV25" s="399">
        <v>73292.651780230924</v>
      </c>
      <c r="DW25" s="399">
        <v>0</v>
      </c>
      <c r="DX25" s="399">
        <v>0</v>
      </c>
      <c r="DY25" s="399">
        <v>-32670.91750000001</v>
      </c>
      <c r="DZ25" s="399">
        <v>0</v>
      </c>
      <c r="EA25" s="399">
        <v>0</v>
      </c>
      <c r="EB25" s="399">
        <v>0</v>
      </c>
      <c r="EC25" s="399">
        <v>-31663.846282779174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218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2334</v>
      </c>
      <c r="D26" s="399" t="s">
        <v>533</v>
      </c>
      <c r="E26" s="399" t="s">
        <v>894</v>
      </c>
      <c r="F26" s="399" t="s">
        <v>1239</v>
      </c>
      <c r="G26" s="399" t="s">
        <v>1239</v>
      </c>
      <c r="H26" s="399" t="s">
        <v>1239</v>
      </c>
      <c r="I26" s="399" t="s">
        <v>893</v>
      </c>
      <c r="J26" s="399" t="s">
        <v>2329</v>
      </c>
      <c r="K26" s="789">
        <v>44440</v>
      </c>
      <c r="L26" s="399">
        <v>0</v>
      </c>
      <c r="M26" s="399">
        <v>0</v>
      </c>
      <c r="N26" s="399">
        <v>2.2890000000000001</v>
      </c>
      <c r="O26" s="399">
        <v>2.1974399999999998</v>
      </c>
      <c r="P26" s="399">
        <v>2.2890000000000001</v>
      </c>
      <c r="Q26" s="399">
        <v>2.1974399999999998</v>
      </c>
      <c r="R26" s="399"/>
      <c r="S26" s="399">
        <v>2741.05</v>
      </c>
      <c r="T26" s="399">
        <v>141.32</v>
      </c>
      <c r="U26" s="399"/>
      <c r="V26" s="399">
        <v>6597.7449300000007</v>
      </c>
      <c r="W26" s="399">
        <v>6597.7449300000007</v>
      </c>
      <c r="X26" s="399">
        <v>4724.2213200000006</v>
      </c>
      <c r="Y26" s="399">
        <v>0</v>
      </c>
      <c r="Z26" s="399">
        <v>120.83408273287833</v>
      </c>
      <c r="AA26" s="399">
        <v>0</v>
      </c>
      <c r="AB26" s="399">
        <v>0</v>
      </c>
      <c r="AC26" s="399">
        <v>0</v>
      </c>
      <c r="AD26" s="399">
        <v>1816.4622257240242</v>
      </c>
      <c r="AE26" s="399">
        <v>4298.3041978077326</v>
      </c>
      <c r="AF26" s="399">
        <v>323.47903084321598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21.475380486797551</v>
      </c>
      <c r="AM26" s="399"/>
      <c r="AN26" s="399">
        <v>1.3750993820596751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15.82376183450223</v>
      </c>
      <c r="BH26" s="399">
        <v>0</v>
      </c>
      <c r="BI26" s="399">
        <v>0</v>
      </c>
      <c r="BJ26" s="399">
        <v>0</v>
      </c>
      <c r="BK26" s="399">
        <v>0</v>
      </c>
      <c r="BL26" s="399">
        <v>0</v>
      </c>
      <c r="BM26" s="399"/>
      <c r="BN26" s="399"/>
      <c r="BO26" s="399"/>
      <c r="BP26" s="399"/>
      <c r="BQ26" s="399"/>
      <c r="BR26" s="399">
        <v>188.96885280000063</v>
      </c>
      <c r="BS26" s="399"/>
      <c r="BT26" s="399"/>
      <c r="BU26" s="399"/>
      <c r="BV26" s="399">
        <v>339.30279267771823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4540.5360000000001</v>
      </c>
      <c r="CJ26" s="399">
        <v>-1793.3291328000005</v>
      </c>
      <c r="CK26" s="399"/>
      <c r="CL26" s="399"/>
      <c r="CM26" s="399"/>
      <c r="CN26" s="399"/>
      <c r="CO26" s="399">
        <v>-1873.5236100000006</v>
      </c>
      <c r="CP26" s="399">
        <v>0</v>
      </c>
      <c r="CQ26" s="399">
        <v>30</v>
      </c>
      <c r="CR26" s="399">
        <v>-16.588039170794673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-8.651270367370671</v>
      </c>
      <c r="DA26" s="399">
        <v>0</v>
      </c>
      <c r="DB26" s="399">
        <v>0</v>
      </c>
      <c r="DC26" s="399">
        <v>0</v>
      </c>
      <c r="DD26" s="399">
        <v>0</v>
      </c>
      <c r="DE26" s="399">
        <v>0</v>
      </c>
      <c r="DF26" s="399">
        <v>0</v>
      </c>
      <c r="DG26" s="399">
        <v>0</v>
      </c>
      <c r="DH26" s="399">
        <v>0</v>
      </c>
      <c r="DI26" s="399">
        <v>-6.8082346355960652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-1.0730861593192991</v>
      </c>
      <c r="DP26" s="399">
        <v>-5.5448008508530044E-2</v>
      </c>
      <c r="DQ26" s="399">
        <v>0</v>
      </c>
      <c r="DR26" s="399">
        <v>0</v>
      </c>
      <c r="DS26" s="399"/>
      <c r="DT26" s="399"/>
      <c r="DU26" s="399"/>
      <c r="DV26" s="399">
        <v>4298.3041978077326</v>
      </c>
      <c r="DW26" s="399">
        <v>0</v>
      </c>
      <c r="DX26" s="399">
        <v>0</v>
      </c>
      <c r="DY26" s="399">
        <v>-1873.5236100000002</v>
      </c>
      <c r="DZ26" s="399">
        <v>0</v>
      </c>
      <c r="EA26" s="399">
        <v>0</v>
      </c>
      <c r="EB26" s="399">
        <v>0</v>
      </c>
      <c r="EC26" s="399">
        <v>-1856.9507323068269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218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2361</v>
      </c>
      <c r="C27" s="399" t="s">
        <v>2334</v>
      </c>
      <c r="D27" s="399" t="s">
        <v>533</v>
      </c>
      <c r="E27" s="399" t="s">
        <v>894</v>
      </c>
      <c r="F27" s="399" t="s">
        <v>1239</v>
      </c>
      <c r="G27" s="399" t="s">
        <v>1239</v>
      </c>
      <c r="H27" s="399" t="s">
        <v>1239</v>
      </c>
      <c r="I27" s="399" t="s">
        <v>893</v>
      </c>
      <c r="J27" s="399" t="s">
        <v>2329</v>
      </c>
      <c r="K27" s="789">
        <v>44440</v>
      </c>
      <c r="L27" s="399">
        <v>0</v>
      </c>
      <c r="M27" s="399">
        <v>0</v>
      </c>
      <c r="N27" s="399">
        <v>2.2869999999999999</v>
      </c>
      <c r="O27" s="399">
        <v>2.1955199999999997</v>
      </c>
      <c r="P27" s="399">
        <v>2.2869999999999999</v>
      </c>
      <c r="Q27" s="399">
        <v>2.1955199999999997</v>
      </c>
      <c r="R27" s="399"/>
      <c r="S27" s="399">
        <v>2741.05</v>
      </c>
      <c r="T27" s="399">
        <v>141.32</v>
      </c>
      <c r="U27" s="399"/>
      <c r="V27" s="399">
        <v>6591.9801900000002</v>
      </c>
      <c r="W27" s="399">
        <v>6591.9801900000002</v>
      </c>
      <c r="X27" s="399">
        <v>4720.0935599999993</v>
      </c>
      <c r="Y27" s="399">
        <v>0</v>
      </c>
      <c r="Z27" s="399">
        <v>120.72850467893959</v>
      </c>
      <c r="AA27" s="399">
        <v>0</v>
      </c>
      <c r="AB27" s="399">
        <v>0</v>
      </c>
      <c r="AC27" s="399">
        <v>0</v>
      </c>
      <c r="AD27" s="399">
        <v>1814.8751027657679</v>
      </c>
      <c r="AE27" s="399">
        <v>4294.5485803347683</v>
      </c>
      <c r="AF27" s="399">
        <v>323.19639298315201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21.456616502099607</v>
      </c>
      <c r="AM27" s="399"/>
      <c r="AN27" s="399">
        <v>1.3738978972348084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15.80993591765251</v>
      </c>
      <c r="BH27" s="399">
        <v>0</v>
      </c>
      <c r="BI27" s="399">
        <v>0</v>
      </c>
      <c r="BJ27" s="399">
        <v>0</v>
      </c>
      <c r="BK27" s="399">
        <v>0</v>
      </c>
      <c r="BL27" s="399">
        <v>0</v>
      </c>
      <c r="BM27" s="399"/>
      <c r="BN27" s="399"/>
      <c r="BO27" s="399"/>
      <c r="BP27" s="399"/>
      <c r="BQ27" s="399"/>
      <c r="BR27" s="399">
        <v>188.80374240000046</v>
      </c>
      <c r="BS27" s="399"/>
      <c r="BT27" s="399"/>
      <c r="BU27" s="399"/>
      <c r="BV27" s="399">
        <v>339.00632890080453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4540.5360000000001</v>
      </c>
      <c r="CJ27" s="399">
        <v>-1787.7949823999998</v>
      </c>
      <c r="CK27" s="399"/>
      <c r="CL27" s="399"/>
      <c r="CM27" s="399"/>
      <c r="CN27" s="399"/>
      <c r="CO27" s="399">
        <v>-1871.8866300000004</v>
      </c>
      <c r="CP27" s="399">
        <v>0</v>
      </c>
      <c r="CQ27" s="399">
        <v>30</v>
      </c>
      <c r="CR27" s="399">
        <v>-16.573545471213038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-8.6437113718552609</v>
      </c>
      <c r="DA27" s="399">
        <v>0</v>
      </c>
      <c r="DB27" s="399">
        <v>0</v>
      </c>
      <c r="DC27" s="399">
        <v>0</v>
      </c>
      <c r="DD27" s="399">
        <v>0</v>
      </c>
      <c r="DE27" s="399">
        <v>0</v>
      </c>
      <c r="DF27" s="399">
        <v>0</v>
      </c>
      <c r="DG27" s="399">
        <v>0</v>
      </c>
      <c r="DH27" s="399">
        <v>0</v>
      </c>
      <c r="DI27" s="399">
        <v>-6.8022859814802104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-1.0721485567336124</v>
      </c>
      <c r="DP27" s="399">
        <v>-5.5399561144171106E-2</v>
      </c>
      <c r="DQ27" s="399">
        <v>0</v>
      </c>
      <c r="DR27" s="399">
        <v>0</v>
      </c>
      <c r="DS27" s="399"/>
      <c r="DT27" s="399"/>
      <c r="DU27" s="399"/>
      <c r="DV27" s="399">
        <v>4294.5485803347683</v>
      </c>
      <c r="DW27" s="399">
        <v>0</v>
      </c>
      <c r="DX27" s="399">
        <v>0</v>
      </c>
      <c r="DY27" s="399">
        <v>-1871.8866300000009</v>
      </c>
      <c r="DZ27" s="399">
        <v>0</v>
      </c>
      <c r="EA27" s="399">
        <v>0</v>
      </c>
      <c r="EB27" s="399">
        <v>0</v>
      </c>
      <c r="EC27" s="399">
        <v>-1855.3282327591583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218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2334</v>
      </c>
      <c r="D28" s="399" t="s">
        <v>533</v>
      </c>
      <c r="E28" s="399" t="s">
        <v>894</v>
      </c>
      <c r="F28" s="399" t="s">
        <v>1239</v>
      </c>
      <c r="G28" s="399" t="s">
        <v>1239</v>
      </c>
      <c r="H28" s="399" t="s">
        <v>1239</v>
      </c>
      <c r="I28" s="399" t="s">
        <v>2326</v>
      </c>
      <c r="J28" s="399" t="s">
        <v>2329</v>
      </c>
      <c r="K28" s="789">
        <v>44440</v>
      </c>
      <c r="L28" s="399">
        <v>0</v>
      </c>
      <c r="M28" s="399">
        <v>0</v>
      </c>
      <c r="N28" s="399">
        <v>24.815999999999999</v>
      </c>
      <c r="O28" s="399">
        <v>23.823360000000001</v>
      </c>
      <c r="P28" s="399">
        <v>24.815999999999999</v>
      </c>
      <c r="Q28" s="399">
        <v>23.823360000000001</v>
      </c>
      <c r="R28" s="399"/>
      <c r="S28" s="399">
        <v>69.680000000000007</v>
      </c>
      <c r="T28" s="399">
        <v>141.32</v>
      </c>
      <c r="U28" s="399"/>
      <c r="V28" s="399">
        <v>5236.1759999999995</v>
      </c>
      <c r="W28" s="399">
        <v>5236.1759999999995</v>
      </c>
      <c r="X28" s="399">
        <v>5150.3126399999992</v>
      </c>
      <c r="Y28" s="399">
        <v>0</v>
      </c>
      <c r="Z28" s="399">
        <v>1310.0124932717815</v>
      </c>
      <c r="AA28" s="399">
        <v>0</v>
      </c>
      <c r="AB28" s="399">
        <v>0</v>
      </c>
      <c r="AC28" s="399">
        <v>0</v>
      </c>
      <c r="AD28" s="399">
        <v>0</v>
      </c>
      <c r="AE28" s="399">
        <v>0</v>
      </c>
      <c r="AF28" s="399">
        <v>3506.9705676737649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232.82352213209612</v>
      </c>
      <c r="AM28" s="399"/>
      <c r="AN28" s="399">
        <v>14.90802370694316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171.5519762713007</v>
      </c>
      <c r="BH28" s="399">
        <v>0</v>
      </c>
      <c r="BI28" s="399">
        <v>0</v>
      </c>
      <c r="BJ28" s="399">
        <v>0</v>
      </c>
      <c r="BK28" s="399">
        <v>0</v>
      </c>
      <c r="BL28" s="399">
        <v>0</v>
      </c>
      <c r="BM28" s="399"/>
      <c r="BN28" s="399"/>
      <c r="BO28" s="399"/>
      <c r="BP28" s="399"/>
      <c r="BQ28" s="399"/>
      <c r="BR28" s="399">
        <v>206.01250559999957</v>
      </c>
      <c r="BS28" s="399"/>
      <c r="BT28" s="399"/>
      <c r="BU28" s="399"/>
      <c r="BV28" s="399">
        <v>3678.5225439450655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4943.6028000000006</v>
      </c>
      <c r="CJ28" s="399">
        <v>-83.156159999999545</v>
      </c>
      <c r="CK28" s="399"/>
      <c r="CL28" s="399"/>
      <c r="CM28" s="399"/>
      <c r="CN28" s="399"/>
      <c r="CO28" s="399">
        <v>-85.863360000000199</v>
      </c>
      <c r="CP28" s="399">
        <v>0</v>
      </c>
      <c r="CQ28" s="399">
        <v>30</v>
      </c>
      <c r="CR28" s="399">
        <v>-86.045808049701918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0</v>
      </c>
      <c r="DA28" s="399">
        <v>0</v>
      </c>
      <c r="DB28" s="399">
        <v>0</v>
      </c>
      <c r="DC28" s="399">
        <v>0</v>
      </c>
      <c r="DD28" s="399">
        <v>0</v>
      </c>
      <c r="DE28" s="399">
        <v>0</v>
      </c>
      <c r="DF28" s="399">
        <v>0</v>
      </c>
      <c r="DG28" s="399">
        <v>0</v>
      </c>
      <c r="DH28" s="399">
        <v>0</v>
      </c>
      <c r="DI28" s="399">
        <v>-73.810900269528702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-11.633772883210014</v>
      </c>
      <c r="DP28" s="399">
        <v>-0.60113489696272637</v>
      </c>
      <c r="DQ28" s="399">
        <v>0</v>
      </c>
      <c r="DR28" s="399">
        <v>0</v>
      </c>
      <c r="DS28" s="399"/>
      <c r="DT28" s="399"/>
      <c r="DU28" s="399"/>
      <c r="DV28" s="399">
        <v>0</v>
      </c>
      <c r="DW28" s="399">
        <v>0</v>
      </c>
      <c r="DX28" s="399">
        <v>0</v>
      </c>
      <c r="DY28" s="399">
        <v>-85.863360000000284</v>
      </c>
      <c r="DZ28" s="399">
        <v>0</v>
      </c>
      <c r="EA28" s="399">
        <v>0</v>
      </c>
      <c r="EB28" s="399">
        <v>0</v>
      </c>
      <c r="EC28" s="399">
        <v>0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218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2361</v>
      </c>
      <c r="C29" s="399" t="s">
        <v>2334</v>
      </c>
      <c r="D29" s="399" t="s">
        <v>533</v>
      </c>
      <c r="E29" s="399" t="s">
        <v>894</v>
      </c>
      <c r="F29" s="399" t="s">
        <v>1239</v>
      </c>
      <c r="G29" s="399" t="s">
        <v>1239</v>
      </c>
      <c r="H29" s="399" t="s">
        <v>1239</v>
      </c>
      <c r="I29" s="399" t="s">
        <v>2326</v>
      </c>
      <c r="J29" s="399" t="s">
        <v>2329</v>
      </c>
      <c r="K29" s="789">
        <v>44440</v>
      </c>
      <c r="L29" s="399">
        <v>0</v>
      </c>
      <c r="M29" s="399">
        <v>0</v>
      </c>
      <c r="N29" s="399">
        <v>36.305999999999997</v>
      </c>
      <c r="O29" s="399">
        <v>34.853759999999994</v>
      </c>
      <c r="P29" s="399">
        <v>36.305999999999997</v>
      </c>
      <c r="Q29" s="399">
        <v>34.853759999999994</v>
      </c>
      <c r="R29" s="399"/>
      <c r="S29" s="399">
        <v>69.680000000000007</v>
      </c>
      <c r="T29" s="399">
        <v>141.32</v>
      </c>
      <c r="U29" s="399"/>
      <c r="V29" s="399">
        <v>7660.5659999999989</v>
      </c>
      <c r="W29" s="399">
        <v>7660.5659999999989</v>
      </c>
      <c r="X29" s="399">
        <v>7534.9472399999995</v>
      </c>
      <c r="Y29" s="399">
        <v>0</v>
      </c>
      <c r="Z29" s="399">
        <v>1916.5584131497947</v>
      </c>
      <c r="AA29" s="399">
        <v>0</v>
      </c>
      <c r="AB29" s="399">
        <v>0</v>
      </c>
      <c r="AC29" s="399">
        <v>0</v>
      </c>
      <c r="AD29" s="399">
        <v>0</v>
      </c>
      <c r="AE29" s="399">
        <v>0</v>
      </c>
      <c r="AF29" s="399">
        <v>5130.7250737412842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340.62261422178761</v>
      </c>
      <c r="AM29" s="399"/>
      <c r="AN29" s="399">
        <v>21.810554025801029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250.98186857293049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>
        <v>301.39788960000067</v>
      </c>
      <c r="BS29" s="399"/>
      <c r="BT29" s="399"/>
      <c r="BU29" s="399"/>
      <c r="BV29" s="399">
        <v>5381.7069423142148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7232.7690000000002</v>
      </c>
      <c r="CJ29" s="399">
        <v>-121.40435999999954</v>
      </c>
      <c r="CK29" s="399"/>
      <c r="CL29" s="399"/>
      <c r="CM29" s="399"/>
      <c r="CN29" s="399"/>
      <c r="CO29" s="399">
        <v>-125.61876000000028</v>
      </c>
      <c r="CP29" s="399">
        <v>0</v>
      </c>
      <c r="CQ29" s="399">
        <v>30</v>
      </c>
      <c r="CR29" s="399">
        <v>-125.88568290830335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0</v>
      </c>
      <c r="DA29" s="399">
        <v>0</v>
      </c>
      <c r="DB29" s="399">
        <v>0</v>
      </c>
      <c r="DC29" s="399">
        <v>0</v>
      </c>
      <c r="DD29" s="399">
        <v>0</v>
      </c>
      <c r="DE29" s="399">
        <v>0</v>
      </c>
      <c r="DF29" s="399">
        <v>0</v>
      </c>
      <c r="DG29" s="399">
        <v>0</v>
      </c>
      <c r="DH29" s="399">
        <v>0</v>
      </c>
      <c r="DI29" s="399">
        <v>-107.98591816511589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-17.020299737984487</v>
      </c>
      <c r="DP29" s="399">
        <v>-0.87946500520344628</v>
      </c>
      <c r="DQ29" s="399">
        <v>0</v>
      </c>
      <c r="DR29" s="399">
        <v>0</v>
      </c>
      <c r="DS29" s="399"/>
      <c r="DT29" s="399"/>
      <c r="DU29" s="399"/>
      <c r="DV29" s="399">
        <v>0</v>
      </c>
      <c r="DW29" s="399">
        <v>0</v>
      </c>
      <c r="DX29" s="399">
        <v>0</v>
      </c>
      <c r="DY29" s="399">
        <v>-125.61876000000029</v>
      </c>
      <c r="DZ29" s="399">
        <v>0</v>
      </c>
      <c r="EA29" s="399">
        <v>0</v>
      </c>
      <c r="EB29" s="399">
        <v>0</v>
      </c>
      <c r="EC29" s="399">
        <v>0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218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2334</v>
      </c>
      <c r="D30" s="399" t="s">
        <v>533</v>
      </c>
      <c r="E30" s="399" t="s">
        <v>894</v>
      </c>
      <c r="F30" s="399" t="s">
        <v>1239</v>
      </c>
      <c r="G30" s="399" t="s">
        <v>1239</v>
      </c>
      <c r="H30" s="399" t="s">
        <v>1239</v>
      </c>
      <c r="I30" s="399" t="s">
        <v>1239</v>
      </c>
      <c r="J30" s="399" t="s">
        <v>2329</v>
      </c>
      <c r="K30" s="789">
        <v>44440</v>
      </c>
      <c r="L30" s="399">
        <v>90</v>
      </c>
      <c r="M30" s="399">
        <v>86.4</v>
      </c>
      <c r="N30" s="399">
        <v>0</v>
      </c>
      <c r="O30" s="399">
        <v>0</v>
      </c>
      <c r="P30" s="399">
        <v>0</v>
      </c>
      <c r="Q30" s="399">
        <v>0</v>
      </c>
      <c r="R30" s="399">
        <v>35.15</v>
      </c>
      <c r="S30" s="399"/>
      <c r="T30" s="399"/>
      <c r="U30" s="399">
        <v>3163.5</v>
      </c>
      <c r="V30" s="399"/>
      <c r="W30" s="399">
        <v>3163.5</v>
      </c>
      <c r="X30" s="399">
        <v>2309.4</v>
      </c>
      <c r="Y30" s="399">
        <v>0</v>
      </c>
      <c r="Z30" s="399">
        <v>0</v>
      </c>
      <c r="AA30" s="399">
        <v>0</v>
      </c>
      <c r="AB30" s="399">
        <v>0</v>
      </c>
      <c r="AC30" s="399">
        <v>0</v>
      </c>
      <c r="AD30" s="399">
        <v>1199.8235963272409</v>
      </c>
      <c r="AE30" s="399">
        <v>1963.6179499154971</v>
      </c>
      <c r="AF30" s="399"/>
      <c r="AG30" s="399"/>
      <c r="AH30" s="399"/>
      <c r="AI30" s="399">
        <v>0</v>
      </c>
      <c r="AJ30" s="399">
        <v>0</v>
      </c>
      <c r="AK30" s="399">
        <v>0</v>
      </c>
      <c r="AL30" s="399">
        <v>0</v>
      </c>
      <c r="AM30" s="399"/>
      <c r="AN30" s="399">
        <v>0</v>
      </c>
      <c r="AO30" s="399">
        <v>0</v>
      </c>
      <c r="AP30" s="399">
        <v>0</v>
      </c>
      <c r="AQ30" s="399">
        <v>0</v>
      </c>
      <c r="AR30" s="399">
        <v>0</v>
      </c>
      <c r="AS30" s="399"/>
      <c r="AT30" s="399"/>
      <c r="AU30" s="399">
        <v>0</v>
      </c>
      <c r="AV30" s="399">
        <v>0</v>
      </c>
      <c r="AW30" s="399">
        <v>0</v>
      </c>
      <c r="AX30" s="399"/>
      <c r="AY30" s="399"/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/>
      <c r="BG30" s="399">
        <v>0</v>
      </c>
      <c r="BH30" s="399">
        <v>0</v>
      </c>
      <c r="BI30" s="399">
        <v>105.66</v>
      </c>
      <c r="BJ30" s="399">
        <v>487.68</v>
      </c>
      <c r="BK30" s="399">
        <v>5348.05</v>
      </c>
      <c r="BL30" s="399">
        <v>1</v>
      </c>
      <c r="BM30" s="399"/>
      <c r="BN30" s="399"/>
      <c r="BO30" s="399"/>
      <c r="BP30" s="399"/>
      <c r="BQ30" s="399"/>
      <c r="BR30" s="399">
        <v>92.375999999999848</v>
      </c>
      <c r="BS30" s="399"/>
      <c r="BT30" s="399"/>
      <c r="BU30" s="399"/>
      <c r="BV30" s="399">
        <v>0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2217.0240000000003</v>
      </c>
      <c r="CJ30" s="399">
        <v>-819.96600000000035</v>
      </c>
      <c r="CK30" s="399"/>
      <c r="CL30" s="399"/>
      <c r="CM30" s="399"/>
      <c r="CN30" s="399"/>
      <c r="CO30" s="399">
        <v>-854.09999999999991</v>
      </c>
      <c r="CP30" s="399">
        <v>0</v>
      </c>
      <c r="CQ30" s="399">
        <v>30</v>
      </c>
      <c r="CR30" s="399">
        <v>-5.7144036236848024</v>
      </c>
      <c r="CS30" s="399">
        <v>0</v>
      </c>
      <c r="CT30" s="399">
        <v>0</v>
      </c>
      <c r="CU30" s="399">
        <v>0</v>
      </c>
      <c r="CV30" s="399">
        <v>0</v>
      </c>
      <c r="CW30" s="399"/>
      <c r="CX30" s="399"/>
      <c r="CY30" s="399"/>
      <c r="CZ30" s="399">
        <v>-5.7144036236848024</v>
      </c>
      <c r="DA30" s="399">
        <v>0</v>
      </c>
      <c r="DB30" s="399">
        <v>0</v>
      </c>
      <c r="DC30" s="399"/>
      <c r="DD30" s="399"/>
      <c r="DE30" s="399">
        <v>0</v>
      </c>
      <c r="DF30" s="399">
        <v>0</v>
      </c>
      <c r="DG30" s="399">
        <v>0</v>
      </c>
      <c r="DH30" s="399">
        <v>0</v>
      </c>
      <c r="DI30" s="399">
        <v>0</v>
      </c>
      <c r="DJ30" s="399"/>
      <c r="DK30" s="399">
        <v>0</v>
      </c>
      <c r="DL30" s="399">
        <v>0</v>
      </c>
      <c r="DM30" s="399"/>
      <c r="DN30" s="399">
        <v>0</v>
      </c>
      <c r="DO30" s="399">
        <v>0</v>
      </c>
      <c r="DP30" s="399">
        <v>0</v>
      </c>
      <c r="DQ30" s="399">
        <v>0</v>
      </c>
      <c r="DR30" s="399">
        <v>0</v>
      </c>
      <c r="DS30" s="399"/>
      <c r="DT30" s="399"/>
      <c r="DU30" s="399">
        <v>1963.6179499154971</v>
      </c>
      <c r="DV30" s="399"/>
      <c r="DW30" s="399">
        <v>0</v>
      </c>
      <c r="DX30" s="399">
        <v>0</v>
      </c>
      <c r="DY30" s="399">
        <v>-854.09999999999991</v>
      </c>
      <c r="DZ30" s="399"/>
      <c r="EA30" s="399">
        <v>0</v>
      </c>
      <c r="EB30" s="399"/>
      <c r="EC30" s="399">
        <v>-848.32101737381709</v>
      </c>
      <c r="ED30" s="399"/>
      <c r="EE30" s="399">
        <v>0</v>
      </c>
      <c r="EF30" s="399">
        <v>0</v>
      </c>
      <c r="EG30" s="399"/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/>
      <c r="EN30" s="399"/>
      <c r="EO30" s="399">
        <v>0</v>
      </c>
      <c r="EP30" s="399">
        <v>0</v>
      </c>
      <c r="EQ30" s="399"/>
      <c r="ER30" s="399">
        <v>0</v>
      </c>
      <c r="ES30" s="399"/>
      <c r="ET30" s="399">
        <v>0</v>
      </c>
      <c r="EU30" s="399"/>
      <c r="EV30" s="399">
        <v>218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2361</v>
      </c>
      <c r="C31" s="399" t="s">
        <v>2334</v>
      </c>
      <c r="D31" s="399" t="s">
        <v>533</v>
      </c>
      <c r="E31" s="399" t="s">
        <v>894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2329</v>
      </c>
      <c r="K31" s="789">
        <v>44440</v>
      </c>
      <c r="L31" s="399">
        <v>264</v>
      </c>
      <c r="M31" s="399">
        <v>253.44</v>
      </c>
      <c r="N31" s="399">
        <v>0</v>
      </c>
      <c r="O31" s="399">
        <v>0</v>
      </c>
      <c r="P31" s="399">
        <v>0</v>
      </c>
      <c r="Q31" s="399">
        <v>0</v>
      </c>
      <c r="R31" s="399">
        <v>35.15</v>
      </c>
      <c r="S31" s="399"/>
      <c r="T31" s="399"/>
      <c r="U31" s="399">
        <v>9279.6</v>
      </c>
      <c r="V31" s="399"/>
      <c r="W31" s="399">
        <v>9279.6</v>
      </c>
      <c r="X31" s="399">
        <v>6774.24</v>
      </c>
      <c r="Y31" s="399">
        <v>0</v>
      </c>
      <c r="Z31" s="399">
        <v>0</v>
      </c>
      <c r="AA31" s="399">
        <v>0</v>
      </c>
      <c r="AB31" s="399">
        <v>0</v>
      </c>
      <c r="AC31" s="399">
        <v>0</v>
      </c>
      <c r="AD31" s="399">
        <v>3519.4825492265736</v>
      </c>
      <c r="AE31" s="399">
        <v>5759.9459864187911</v>
      </c>
      <c r="AF31" s="399"/>
      <c r="AG31" s="399"/>
      <c r="AH31" s="399"/>
      <c r="AI31" s="399">
        <v>0</v>
      </c>
      <c r="AJ31" s="399">
        <v>0</v>
      </c>
      <c r="AK31" s="399">
        <v>0</v>
      </c>
      <c r="AL31" s="399">
        <v>0</v>
      </c>
      <c r="AM31" s="399"/>
      <c r="AN31" s="399">
        <v>0</v>
      </c>
      <c r="AO31" s="399">
        <v>0</v>
      </c>
      <c r="AP31" s="399">
        <v>0</v>
      </c>
      <c r="AQ31" s="399">
        <v>0</v>
      </c>
      <c r="AR31" s="399">
        <v>0</v>
      </c>
      <c r="AS31" s="399"/>
      <c r="AT31" s="399"/>
      <c r="AU31" s="399">
        <v>0</v>
      </c>
      <c r="AV31" s="399">
        <v>0</v>
      </c>
      <c r="AW31" s="399">
        <v>0</v>
      </c>
      <c r="AX31" s="399"/>
      <c r="AY31" s="399"/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/>
      <c r="BG31" s="399">
        <v>0</v>
      </c>
      <c r="BH31" s="399">
        <v>0</v>
      </c>
      <c r="BI31" s="399">
        <v>174.67</v>
      </c>
      <c r="BJ31" s="399">
        <v>806.25</v>
      </c>
      <c r="BK31" s="399">
        <v>9726.01</v>
      </c>
      <c r="BL31" s="399">
        <v>2</v>
      </c>
      <c r="BM31" s="399"/>
      <c r="BN31" s="399"/>
      <c r="BO31" s="399"/>
      <c r="BP31" s="399"/>
      <c r="BQ31" s="399"/>
      <c r="BR31" s="399">
        <v>270.96960000000007</v>
      </c>
      <c r="BS31" s="399"/>
      <c r="BT31" s="399"/>
      <c r="BU31" s="399"/>
      <c r="BV31" s="399">
        <v>0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6503.2704000000003</v>
      </c>
      <c r="CJ31" s="399">
        <v>-2405.1755999999996</v>
      </c>
      <c r="CK31" s="399"/>
      <c r="CL31" s="399"/>
      <c r="CM31" s="399"/>
      <c r="CN31" s="399"/>
      <c r="CO31" s="399">
        <v>-2505.3599999999997</v>
      </c>
      <c r="CP31" s="399">
        <v>0</v>
      </c>
      <c r="CQ31" s="399">
        <v>30</v>
      </c>
      <c r="CR31" s="399">
        <v>-16.762250629475602</v>
      </c>
      <c r="CS31" s="399">
        <v>0</v>
      </c>
      <c r="CT31" s="399">
        <v>0</v>
      </c>
      <c r="CU31" s="399">
        <v>0</v>
      </c>
      <c r="CV31" s="399">
        <v>0</v>
      </c>
      <c r="CW31" s="399"/>
      <c r="CX31" s="399"/>
      <c r="CY31" s="399"/>
      <c r="CZ31" s="399">
        <v>-16.762250629475602</v>
      </c>
      <c r="DA31" s="399">
        <v>0</v>
      </c>
      <c r="DB31" s="399">
        <v>0</v>
      </c>
      <c r="DC31" s="399"/>
      <c r="DD31" s="399"/>
      <c r="DE31" s="399">
        <v>0</v>
      </c>
      <c r="DF31" s="399">
        <v>0</v>
      </c>
      <c r="DG31" s="399">
        <v>0</v>
      </c>
      <c r="DH31" s="399">
        <v>0</v>
      </c>
      <c r="DI31" s="399">
        <v>0</v>
      </c>
      <c r="DJ31" s="399"/>
      <c r="DK31" s="399">
        <v>0</v>
      </c>
      <c r="DL31" s="399">
        <v>0</v>
      </c>
      <c r="DM31" s="399"/>
      <c r="DN31" s="399">
        <v>0</v>
      </c>
      <c r="DO31" s="399">
        <v>0</v>
      </c>
      <c r="DP31" s="399">
        <v>0</v>
      </c>
      <c r="DQ31" s="399">
        <v>0</v>
      </c>
      <c r="DR31" s="399">
        <v>0</v>
      </c>
      <c r="DS31" s="399"/>
      <c r="DT31" s="399"/>
      <c r="DU31" s="399">
        <v>5759.9459864187911</v>
      </c>
      <c r="DV31" s="399"/>
      <c r="DW31" s="399">
        <v>0</v>
      </c>
      <c r="DX31" s="399">
        <v>0</v>
      </c>
      <c r="DY31" s="399">
        <v>-2505.3600000000006</v>
      </c>
      <c r="DZ31" s="399"/>
      <c r="EA31" s="399">
        <v>0</v>
      </c>
      <c r="EB31" s="399"/>
      <c r="EC31" s="399">
        <v>-2488.4083176298632</v>
      </c>
      <c r="ED31" s="399"/>
      <c r="EE31" s="399">
        <v>0</v>
      </c>
      <c r="EF31" s="399">
        <v>0</v>
      </c>
      <c r="EG31" s="399"/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/>
      <c r="EN31" s="399"/>
      <c r="EO31" s="399">
        <v>0</v>
      </c>
      <c r="EP31" s="399">
        <v>0</v>
      </c>
      <c r="EQ31" s="399"/>
      <c r="ER31" s="399">
        <v>0</v>
      </c>
      <c r="ES31" s="399"/>
      <c r="ET31" s="399">
        <v>0</v>
      </c>
      <c r="EU31" s="399"/>
      <c r="EV31" s="399">
        <v>218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2328</v>
      </c>
      <c r="D32" s="399" t="s">
        <v>1826</v>
      </c>
      <c r="E32" s="399" t="s">
        <v>2336</v>
      </c>
      <c r="F32" s="399" t="s">
        <v>1239</v>
      </c>
      <c r="G32" s="399" t="s">
        <v>1239</v>
      </c>
      <c r="H32" s="399" t="s">
        <v>1239</v>
      </c>
      <c r="I32" s="399" t="s">
        <v>1239</v>
      </c>
      <c r="J32" s="399" t="s">
        <v>2329</v>
      </c>
      <c r="K32" s="789">
        <v>44440</v>
      </c>
      <c r="L32" s="399">
        <v>0</v>
      </c>
      <c r="M32" s="399">
        <v>0</v>
      </c>
      <c r="N32" s="399">
        <v>108.654</v>
      </c>
      <c r="O32" s="399">
        <v>108.654</v>
      </c>
      <c r="P32" s="399">
        <v>108.654</v>
      </c>
      <c r="Q32" s="399">
        <v>108.654</v>
      </c>
      <c r="R32" s="399"/>
      <c r="S32" s="399">
        <v>521.86</v>
      </c>
      <c r="T32" s="399">
        <v>141.32</v>
      </c>
      <c r="U32" s="399"/>
      <c r="V32" s="399">
        <v>72057.159719999996</v>
      </c>
      <c r="W32" s="399">
        <v>72057.159719999996</v>
      </c>
      <c r="X32" s="399">
        <v>56318.627820000002</v>
      </c>
      <c r="Y32" s="399">
        <v>0</v>
      </c>
      <c r="Z32" s="399">
        <v>6592.8033750913455</v>
      </c>
      <c r="AA32" s="399">
        <v>0</v>
      </c>
      <c r="AB32" s="399">
        <v>0</v>
      </c>
      <c r="AC32" s="399">
        <v>0</v>
      </c>
      <c r="AD32" s="399">
        <v>11686.150826765439</v>
      </c>
      <c r="AE32" s="399">
        <v>35307.203664505476</v>
      </c>
      <c r="AF32" s="399">
        <v>15354.867023695408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1019.3909966852342</v>
      </c>
      <c r="AM32" s="399"/>
      <c r="AN32" s="399">
        <v>150.68861262637412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1945.4387884868354</v>
      </c>
      <c r="BH32" s="399">
        <v>0</v>
      </c>
      <c r="BI32" s="399">
        <v>462.73</v>
      </c>
      <c r="BJ32" s="399">
        <v>2138.9499999999998</v>
      </c>
      <c r="BK32" s="399">
        <v>19990.77</v>
      </c>
      <c r="BL32" s="399">
        <v>159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17300.305812182243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56316.554499999998</v>
      </c>
      <c r="CJ32" s="399">
        <v>-15740.635219999996</v>
      </c>
      <c r="CK32" s="399"/>
      <c r="CL32" s="399"/>
      <c r="CM32" s="399"/>
      <c r="CN32" s="399"/>
      <c r="CO32" s="399">
        <v>-15738.531900000002</v>
      </c>
      <c r="CP32" s="399">
        <v>0</v>
      </c>
      <c r="CQ32" s="399">
        <v>30</v>
      </c>
      <c r="CR32" s="399">
        <v>-484.13368703316519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-55.657667373658114</v>
      </c>
      <c r="DA32" s="399">
        <v>0</v>
      </c>
      <c r="DB32" s="399">
        <v>0</v>
      </c>
      <c r="DC32" s="399">
        <v>0</v>
      </c>
      <c r="DD32" s="399">
        <v>0</v>
      </c>
      <c r="DE32" s="399">
        <v>0</v>
      </c>
      <c r="DF32" s="399">
        <v>0</v>
      </c>
      <c r="DG32" s="399">
        <v>0</v>
      </c>
      <c r="DH32" s="399">
        <v>0</v>
      </c>
      <c r="DI32" s="399">
        <v>-371.46268063453408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-50.937135672642739</v>
      </c>
      <c r="DP32" s="399">
        <v>-6.0762033523204764</v>
      </c>
      <c r="DQ32" s="399">
        <v>0</v>
      </c>
      <c r="DR32" s="399">
        <v>0</v>
      </c>
      <c r="DS32" s="399"/>
      <c r="DT32" s="399"/>
      <c r="DU32" s="399"/>
      <c r="DV32" s="399">
        <v>35307.203664505476</v>
      </c>
      <c r="DW32" s="399">
        <v>0</v>
      </c>
      <c r="DX32" s="399">
        <v>0</v>
      </c>
      <c r="DY32" s="399">
        <v>-15738.531900000002</v>
      </c>
      <c r="DZ32" s="399">
        <v>0</v>
      </c>
      <c r="EA32" s="399">
        <v>0</v>
      </c>
      <c r="EB32" s="399">
        <v>0</v>
      </c>
      <c r="EC32" s="399">
        <v>-15253.396382217194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218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2328</v>
      </c>
      <c r="D33" s="399" t="s">
        <v>2337</v>
      </c>
      <c r="E33" s="399" t="s">
        <v>2338</v>
      </c>
      <c r="F33" s="399" t="s">
        <v>2339</v>
      </c>
      <c r="G33" s="399" t="s">
        <v>1239</v>
      </c>
      <c r="H33" s="399" t="s">
        <v>1239</v>
      </c>
      <c r="I33" s="399" t="s">
        <v>1239</v>
      </c>
      <c r="J33" s="399" t="s">
        <v>2329</v>
      </c>
      <c r="K33" s="789">
        <v>44440</v>
      </c>
      <c r="L33" s="399">
        <v>0</v>
      </c>
      <c r="M33" s="399">
        <v>0</v>
      </c>
      <c r="N33" s="399">
        <v>76.06</v>
      </c>
      <c r="O33" s="399">
        <v>76.06</v>
      </c>
      <c r="P33" s="399">
        <v>76.06</v>
      </c>
      <c r="Q33" s="399">
        <v>76.06</v>
      </c>
      <c r="R33" s="399"/>
      <c r="S33" s="399">
        <v>287.02</v>
      </c>
      <c r="T33" s="399">
        <v>77.73</v>
      </c>
      <c r="U33" s="399"/>
      <c r="V33" s="399">
        <v>27742.885000000002</v>
      </c>
      <c r="W33" s="399">
        <v>27742.885000000002</v>
      </c>
      <c r="X33" s="399">
        <v>21683.945400000001</v>
      </c>
      <c r="Y33" s="399">
        <v>0</v>
      </c>
      <c r="Z33" s="399">
        <v>2538.3027186315821</v>
      </c>
      <c r="AA33" s="399">
        <v>0</v>
      </c>
      <c r="AB33" s="399">
        <v>0</v>
      </c>
      <c r="AC33" s="399">
        <v>0</v>
      </c>
      <c r="AD33" s="399">
        <v>4499.2982084053992</v>
      </c>
      <c r="AE33" s="399">
        <v>13593.666601296389</v>
      </c>
      <c r="AF33" s="399">
        <v>5911.7948000280785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392.47688593455786</v>
      </c>
      <c r="AM33" s="399"/>
      <c r="AN33" s="399">
        <v>58.016793969841238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749.01559849402383</v>
      </c>
      <c r="BH33" s="399">
        <v>0</v>
      </c>
      <c r="BI33" s="399">
        <v>217.28</v>
      </c>
      <c r="BJ33" s="399">
        <v>1002.94</v>
      </c>
      <c r="BK33" s="399">
        <v>11143.8</v>
      </c>
      <c r="BL33" s="399">
        <v>7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6660.8103985221023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21683.945400000001</v>
      </c>
      <c r="CJ33" s="399">
        <v>-6058.9695999999967</v>
      </c>
      <c r="CK33" s="399"/>
      <c r="CL33" s="399"/>
      <c r="CM33" s="399"/>
      <c r="CN33" s="399"/>
      <c r="CO33" s="399">
        <v>-6058.9395999999979</v>
      </c>
      <c r="CP33" s="399">
        <v>0</v>
      </c>
      <c r="CQ33" s="399">
        <v>30</v>
      </c>
      <c r="CR33" s="399">
        <v>-186.39686094998069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-21.428821757540391</v>
      </c>
      <c r="DA33" s="399">
        <v>0</v>
      </c>
      <c r="DB33" s="399">
        <v>0</v>
      </c>
      <c r="DC33" s="399">
        <v>0</v>
      </c>
      <c r="DD33" s="399">
        <v>0</v>
      </c>
      <c r="DE33" s="399">
        <v>0</v>
      </c>
      <c r="DF33" s="399">
        <v>0</v>
      </c>
      <c r="DG33" s="399">
        <v>0</v>
      </c>
      <c r="DH33" s="399">
        <v>0</v>
      </c>
      <c r="DI33" s="399">
        <v>-143.01726875203985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-19.611364483532441</v>
      </c>
      <c r="DP33" s="399">
        <v>-2.3394059568691006</v>
      </c>
      <c r="DQ33" s="399">
        <v>0</v>
      </c>
      <c r="DR33" s="399">
        <v>0</v>
      </c>
      <c r="DS33" s="399"/>
      <c r="DT33" s="399"/>
      <c r="DU33" s="399"/>
      <c r="DV33" s="399">
        <v>13593.666601296389</v>
      </c>
      <c r="DW33" s="399">
        <v>0</v>
      </c>
      <c r="DX33" s="399">
        <v>0</v>
      </c>
      <c r="DY33" s="399">
        <v>-6058.9395999999997</v>
      </c>
      <c r="DZ33" s="399">
        <v>0</v>
      </c>
      <c r="EA33" s="399">
        <v>0</v>
      </c>
      <c r="EB33" s="399">
        <v>0</v>
      </c>
      <c r="EC33" s="399">
        <v>-5872.7274730547852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218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2328</v>
      </c>
      <c r="D34" s="399" t="s">
        <v>1826</v>
      </c>
      <c r="E34" s="399" t="s">
        <v>921</v>
      </c>
      <c r="F34" s="399" t="s">
        <v>2362</v>
      </c>
      <c r="G34" s="399" t="s">
        <v>1239</v>
      </c>
      <c r="H34" s="399" t="s">
        <v>1239</v>
      </c>
      <c r="I34" s="399" t="s">
        <v>1239</v>
      </c>
      <c r="J34" s="399" t="s">
        <v>2329</v>
      </c>
      <c r="K34" s="789">
        <v>44440</v>
      </c>
      <c r="L34" s="399">
        <v>0</v>
      </c>
      <c r="M34" s="399">
        <v>0</v>
      </c>
      <c r="N34" s="399">
        <v>47.116</v>
      </c>
      <c r="O34" s="399">
        <v>44.28904</v>
      </c>
      <c r="P34" s="399">
        <v>47.116</v>
      </c>
      <c r="Q34" s="399">
        <v>44.28904</v>
      </c>
      <c r="R34" s="399"/>
      <c r="S34" s="399">
        <v>521.86</v>
      </c>
      <c r="T34" s="399">
        <v>141.32</v>
      </c>
      <c r="U34" s="399"/>
      <c r="V34" s="399">
        <v>31246.388879999999</v>
      </c>
      <c r="W34" s="399">
        <v>31246.388879999999</v>
      </c>
      <c r="X34" s="399">
        <v>24421.636279999999</v>
      </c>
      <c r="Y34" s="399">
        <v>0</v>
      </c>
      <c r="Z34" s="399">
        <v>2858.859534124872</v>
      </c>
      <c r="AA34" s="399">
        <v>0</v>
      </c>
      <c r="AB34" s="399">
        <v>0</v>
      </c>
      <c r="AC34" s="399">
        <v>0</v>
      </c>
      <c r="AD34" s="399">
        <v>5067.5049455508351</v>
      </c>
      <c r="AE34" s="399">
        <v>15310.381650531413</v>
      </c>
      <c r="AF34" s="399">
        <v>6658.3827073870534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442.04195151417798</v>
      </c>
      <c r="AM34" s="399"/>
      <c r="AN34" s="399">
        <v>65.343610658643428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843.60717468612052</v>
      </c>
      <c r="BH34" s="399">
        <v>0</v>
      </c>
      <c r="BI34" s="399">
        <v>195.52</v>
      </c>
      <c r="BJ34" s="399">
        <v>902.74</v>
      </c>
      <c r="BK34" s="399">
        <v>10030.68</v>
      </c>
      <c r="BL34" s="399">
        <v>19</v>
      </c>
      <c r="BM34" s="399"/>
      <c r="BN34" s="399"/>
      <c r="BO34" s="399"/>
      <c r="BP34" s="399"/>
      <c r="BQ34" s="399">
        <v>1465.2981767999997</v>
      </c>
      <c r="BR34" s="399"/>
      <c r="BS34" s="399"/>
      <c r="BT34" s="399"/>
      <c r="BU34" s="399"/>
      <c r="BV34" s="399">
        <v>7501.9898820731742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22956.8357</v>
      </c>
      <c r="CJ34" s="399">
        <v>-6414.7998471999963</v>
      </c>
      <c r="CK34" s="399"/>
      <c r="CL34" s="399"/>
      <c r="CM34" s="399"/>
      <c r="CN34" s="399"/>
      <c r="CO34" s="399">
        <v>-6824.7526000000007</v>
      </c>
      <c r="CP34" s="399">
        <v>0</v>
      </c>
      <c r="CQ34" s="399">
        <v>30</v>
      </c>
      <c r="CR34" s="399">
        <v>-209.93652141894563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-24.13502177533519</v>
      </c>
      <c r="DA34" s="399">
        <v>0</v>
      </c>
      <c r="DB34" s="399">
        <v>0</v>
      </c>
      <c r="DC34" s="399">
        <v>0</v>
      </c>
      <c r="DD34" s="399">
        <v>0</v>
      </c>
      <c r="DE34" s="399">
        <v>0</v>
      </c>
      <c r="DF34" s="399">
        <v>0</v>
      </c>
      <c r="DG34" s="399">
        <v>0</v>
      </c>
      <c r="DH34" s="399">
        <v>0</v>
      </c>
      <c r="DI34" s="399">
        <v>-161.07861340380214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-22.088041713625216</v>
      </c>
      <c r="DP34" s="399">
        <v>-2.6348445261834001</v>
      </c>
      <c r="DQ34" s="399">
        <v>0</v>
      </c>
      <c r="DR34" s="399">
        <v>0</v>
      </c>
      <c r="DS34" s="399"/>
      <c r="DT34" s="399"/>
      <c r="DU34" s="399"/>
      <c r="DV34" s="399">
        <v>15310.381650531413</v>
      </c>
      <c r="DW34" s="399">
        <v>0</v>
      </c>
      <c r="DX34" s="399">
        <v>0</v>
      </c>
      <c r="DY34" s="399">
        <v>-6824.7525999999998</v>
      </c>
      <c r="DZ34" s="399">
        <v>0</v>
      </c>
      <c r="EA34" s="399">
        <v>0</v>
      </c>
      <c r="EB34" s="399">
        <v>0</v>
      </c>
      <c r="EC34" s="399">
        <v>-6614.3816513386118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218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2398</v>
      </c>
      <c r="D35" s="399" t="s">
        <v>533</v>
      </c>
      <c r="E35" s="399" t="s">
        <v>921</v>
      </c>
      <c r="F35" s="399" t="s">
        <v>2362</v>
      </c>
      <c r="G35" s="399" t="s">
        <v>1239</v>
      </c>
      <c r="H35" s="399" t="s">
        <v>1239</v>
      </c>
      <c r="I35" s="399" t="s">
        <v>893</v>
      </c>
      <c r="J35" s="399" t="s">
        <v>2329</v>
      </c>
      <c r="K35" s="789">
        <v>44440</v>
      </c>
      <c r="L35" s="399">
        <v>492</v>
      </c>
      <c r="M35" s="399">
        <v>462.48</v>
      </c>
      <c r="N35" s="399">
        <v>24.686</v>
      </c>
      <c r="O35" s="399">
        <v>23.204840000000001</v>
      </c>
      <c r="P35" s="399">
        <v>24.686</v>
      </c>
      <c r="Q35" s="399">
        <v>23.204840000000001</v>
      </c>
      <c r="R35" s="399">
        <v>111.06</v>
      </c>
      <c r="S35" s="399">
        <v>69.680000000000007</v>
      </c>
      <c r="T35" s="399">
        <v>141.32</v>
      </c>
      <c r="U35" s="399">
        <v>54641.520000000004</v>
      </c>
      <c r="V35" s="399">
        <v>5208.7460000000001</v>
      </c>
      <c r="W35" s="399">
        <v>59850.266000000003</v>
      </c>
      <c r="X35" s="399">
        <v>43090.972439999998</v>
      </c>
      <c r="Y35" s="399">
        <v>0</v>
      </c>
      <c r="Z35" s="399">
        <v>1303.149919765764</v>
      </c>
      <c r="AA35" s="399">
        <v>0</v>
      </c>
      <c r="AB35" s="399">
        <v>0</v>
      </c>
      <c r="AC35" s="399">
        <v>0</v>
      </c>
      <c r="AD35" s="399">
        <v>16227.715699567572</v>
      </c>
      <c r="AE35" s="399">
        <v>38414.993705555382</v>
      </c>
      <c r="AF35" s="399">
        <v>3488.5991067696068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231.60386312672972</v>
      </c>
      <c r="AM35" s="399"/>
      <c r="AN35" s="399">
        <v>14.829927193326839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170.65329167606905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>
        <v>2585.4583463999984</v>
      </c>
      <c r="BR35" s="399"/>
      <c r="BS35" s="399"/>
      <c r="BT35" s="399"/>
      <c r="BU35" s="399"/>
      <c r="BV35" s="399">
        <v>3659.2523984456757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40504.509600000005</v>
      </c>
      <c r="CJ35" s="399">
        <v>-15754.77044</v>
      </c>
      <c r="CK35" s="399"/>
      <c r="CL35" s="399"/>
      <c r="CM35" s="399"/>
      <c r="CN35" s="399"/>
      <c r="CO35" s="399">
        <v>-16759.293560000002</v>
      </c>
      <c r="CP35" s="399">
        <v>0</v>
      </c>
      <c r="CQ35" s="399">
        <v>30</v>
      </c>
      <c r="CR35" s="399">
        <v>-162.88284499238216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-77.287792706965774</v>
      </c>
      <c r="DA35" s="399">
        <v>0</v>
      </c>
      <c r="DB35" s="399">
        <v>0</v>
      </c>
      <c r="DC35" s="399">
        <v>0</v>
      </c>
      <c r="DD35" s="399">
        <v>0</v>
      </c>
      <c r="DE35" s="399">
        <v>0</v>
      </c>
      <c r="DF35" s="399">
        <v>0</v>
      </c>
      <c r="DG35" s="399">
        <v>0</v>
      </c>
      <c r="DH35" s="399">
        <v>0</v>
      </c>
      <c r="DI35" s="399">
        <v>-73.424237751998135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-11.572828715140332</v>
      </c>
      <c r="DP35" s="399">
        <v>-0.59798581827940822</v>
      </c>
      <c r="DQ35" s="399">
        <v>0</v>
      </c>
      <c r="DR35" s="399">
        <v>0</v>
      </c>
      <c r="DS35" s="399"/>
      <c r="DT35" s="399"/>
      <c r="DU35" s="399">
        <v>38414.993705555382</v>
      </c>
      <c r="DV35" s="399">
        <v>0</v>
      </c>
      <c r="DW35" s="399">
        <v>0</v>
      </c>
      <c r="DX35" s="399">
        <v>0</v>
      </c>
      <c r="DY35" s="399">
        <v>-16759.293560000006</v>
      </c>
      <c r="DZ35" s="399">
        <v>0</v>
      </c>
      <c r="EA35" s="399">
        <v>0</v>
      </c>
      <c r="EB35" s="399">
        <v>0</v>
      </c>
      <c r="EC35" s="399">
        <v>-16596.021921732681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218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2398</v>
      </c>
      <c r="D36" s="399" t="s">
        <v>533</v>
      </c>
      <c r="E36" s="399" t="s">
        <v>921</v>
      </c>
      <c r="F36" s="399" t="s">
        <v>2362</v>
      </c>
      <c r="G36" s="399" t="s">
        <v>1239</v>
      </c>
      <c r="H36" s="399" t="s">
        <v>1239</v>
      </c>
      <c r="I36" s="399" t="s">
        <v>2326</v>
      </c>
      <c r="J36" s="399" t="s">
        <v>2329</v>
      </c>
      <c r="K36" s="789">
        <v>44440</v>
      </c>
      <c r="L36" s="399">
        <v>497</v>
      </c>
      <c r="M36" s="399">
        <v>467.18</v>
      </c>
      <c r="N36" s="399">
        <v>245.80799999999999</v>
      </c>
      <c r="O36" s="399">
        <v>231.05951999999999</v>
      </c>
      <c r="P36" s="399">
        <v>245.80799999999999</v>
      </c>
      <c r="Q36" s="399">
        <v>231.05951999999999</v>
      </c>
      <c r="R36" s="399">
        <v>35.15</v>
      </c>
      <c r="S36" s="399">
        <v>69.680000000000007</v>
      </c>
      <c r="T36" s="399">
        <v>141.32</v>
      </c>
      <c r="U36" s="399">
        <v>17469.55</v>
      </c>
      <c r="V36" s="399">
        <v>51865.487999999998</v>
      </c>
      <c r="W36" s="399">
        <v>69335.038</v>
      </c>
      <c r="X36" s="399">
        <v>63768.012319999994</v>
      </c>
      <c r="Y36" s="399">
        <v>0</v>
      </c>
      <c r="Z36" s="399">
        <v>12975.965141285868</v>
      </c>
      <c r="AA36" s="399">
        <v>0</v>
      </c>
      <c r="AB36" s="399">
        <v>0</v>
      </c>
      <c r="AC36" s="399">
        <v>0</v>
      </c>
      <c r="AD36" s="399">
        <v>6625.6925263848752</v>
      </c>
      <c r="AE36" s="399">
        <v>10843.5346789778</v>
      </c>
      <c r="AF36" s="399">
        <v>34737.32355330242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2306.1687753161782</v>
      </c>
      <c r="AM36" s="399"/>
      <c r="AN36" s="399">
        <v>147.66729091538863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1699.2604844977386</v>
      </c>
      <c r="BH36" s="399">
        <v>0</v>
      </c>
      <c r="BI36" s="399">
        <v>0</v>
      </c>
      <c r="BJ36" s="399">
        <v>0</v>
      </c>
      <c r="BK36" s="399">
        <v>0</v>
      </c>
      <c r="BL36" s="399">
        <v>0</v>
      </c>
      <c r="BM36" s="399"/>
      <c r="BN36" s="399"/>
      <c r="BO36" s="399"/>
      <c r="BP36" s="399"/>
      <c r="BQ36" s="399">
        <v>3826.0807392000002</v>
      </c>
      <c r="BR36" s="399"/>
      <c r="BS36" s="399"/>
      <c r="BT36" s="399"/>
      <c r="BU36" s="399"/>
      <c r="BV36" s="399">
        <v>36436.584037800159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59942.031199999998</v>
      </c>
      <c r="CJ36" s="399">
        <v>-5232.9345200000025</v>
      </c>
      <c r="CK36" s="399"/>
      <c r="CL36" s="399"/>
      <c r="CM36" s="399"/>
      <c r="CN36" s="399"/>
      <c r="CO36" s="399">
        <v>-5567.0256800000006</v>
      </c>
      <c r="CP36" s="399">
        <v>0</v>
      </c>
      <c r="CQ36" s="399">
        <v>30</v>
      </c>
      <c r="CR36" s="399">
        <v>-883.85907519296597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-31.556206677460068</v>
      </c>
      <c r="DA36" s="399">
        <v>0</v>
      </c>
      <c r="DB36" s="399">
        <v>0</v>
      </c>
      <c r="DC36" s="399">
        <v>0</v>
      </c>
      <c r="DD36" s="399">
        <v>0</v>
      </c>
      <c r="DE36" s="399">
        <v>0</v>
      </c>
      <c r="DF36" s="399">
        <v>0</v>
      </c>
      <c r="DG36" s="399">
        <v>0</v>
      </c>
      <c r="DH36" s="399">
        <v>0</v>
      </c>
      <c r="DI36" s="399">
        <v>-731.11338545504259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-115.23510819133162</v>
      </c>
      <c r="DP36" s="399">
        <v>-5.954374869141418</v>
      </c>
      <c r="DQ36" s="399">
        <v>0</v>
      </c>
      <c r="DR36" s="399">
        <v>0</v>
      </c>
      <c r="DS36" s="399"/>
      <c r="DT36" s="399"/>
      <c r="DU36" s="399">
        <v>10843.5346789778</v>
      </c>
      <c r="DV36" s="399">
        <v>0</v>
      </c>
      <c r="DW36" s="399">
        <v>0</v>
      </c>
      <c r="DX36" s="399">
        <v>0</v>
      </c>
      <c r="DY36" s="399">
        <v>-5567.0256800000061</v>
      </c>
      <c r="DZ36" s="399">
        <v>0</v>
      </c>
      <c r="EA36" s="399">
        <v>0</v>
      </c>
      <c r="EB36" s="399">
        <v>0</v>
      </c>
      <c r="EC36" s="399">
        <v>-4684.6171737198556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218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2398</v>
      </c>
      <c r="D37" s="399" t="s">
        <v>533</v>
      </c>
      <c r="E37" s="399" t="s">
        <v>921</v>
      </c>
      <c r="F37" s="399" t="s">
        <v>2362</v>
      </c>
      <c r="G37" s="399" t="s">
        <v>1239</v>
      </c>
      <c r="H37" s="399" t="s">
        <v>1239</v>
      </c>
      <c r="I37" s="399" t="s">
        <v>1239</v>
      </c>
      <c r="J37" s="399" t="s">
        <v>2329</v>
      </c>
      <c r="K37" s="789">
        <v>44440</v>
      </c>
      <c r="L37" s="399">
        <v>0</v>
      </c>
      <c r="M37" s="399">
        <v>0</v>
      </c>
      <c r="N37" s="399">
        <v>0</v>
      </c>
      <c r="O37" s="399">
        <v>0</v>
      </c>
      <c r="P37" s="399">
        <v>0</v>
      </c>
      <c r="Q37" s="399">
        <v>0</v>
      </c>
      <c r="R37" s="399"/>
      <c r="S37" s="399"/>
      <c r="T37" s="399"/>
      <c r="U37" s="399"/>
      <c r="V37" s="399"/>
      <c r="W37" s="399"/>
      <c r="X37" s="399"/>
      <c r="Y37" s="399"/>
      <c r="Z37" s="399"/>
      <c r="AA37" s="399">
        <v>0</v>
      </c>
      <c r="AB37" s="399"/>
      <c r="AC37" s="399"/>
      <c r="AD37" s="399"/>
      <c r="AE37" s="399"/>
      <c r="AF37" s="399"/>
      <c r="AG37" s="399"/>
      <c r="AH37" s="399"/>
      <c r="AI37" s="399"/>
      <c r="AJ37" s="399"/>
      <c r="AK37" s="399"/>
      <c r="AL37" s="399"/>
      <c r="AM37" s="399"/>
      <c r="AN37" s="399"/>
      <c r="AO37" s="399"/>
      <c r="AP37" s="399"/>
      <c r="AQ37" s="399"/>
      <c r="AR37" s="399"/>
      <c r="AS37" s="399"/>
      <c r="AT37" s="399"/>
      <c r="AU37" s="399"/>
      <c r="AV37" s="399"/>
      <c r="AW37" s="399"/>
      <c r="AX37" s="399"/>
      <c r="AY37" s="399"/>
      <c r="AZ37" s="399">
        <v>0</v>
      </c>
      <c r="BA37" s="399"/>
      <c r="BB37" s="399"/>
      <c r="BC37" s="399"/>
      <c r="BD37" s="399"/>
      <c r="BE37" s="399"/>
      <c r="BF37" s="399"/>
      <c r="BG37" s="399"/>
      <c r="BH37" s="399"/>
      <c r="BI37" s="399">
        <v>949.04</v>
      </c>
      <c r="BJ37" s="399">
        <v>4380.1899999999996</v>
      </c>
      <c r="BK37" s="399">
        <v>47465.16</v>
      </c>
      <c r="BL37" s="399">
        <v>2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/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/>
      <c r="CJ37" s="399">
        <v>-0.03</v>
      </c>
      <c r="CK37" s="399"/>
      <c r="CL37" s="399"/>
      <c r="CM37" s="399"/>
      <c r="CN37" s="399"/>
      <c r="CO37" s="399">
        <v>0</v>
      </c>
      <c r="CP37" s="399">
        <v>0</v>
      </c>
      <c r="CQ37" s="399">
        <v>30</v>
      </c>
      <c r="CR37" s="399"/>
      <c r="CS37" s="399"/>
      <c r="CT37" s="399"/>
      <c r="CU37" s="399"/>
      <c r="CV37" s="399"/>
      <c r="CW37" s="399"/>
      <c r="CX37" s="399"/>
      <c r="CY37" s="399"/>
      <c r="CZ37" s="399"/>
      <c r="DA37" s="399"/>
      <c r="DB37" s="399"/>
      <c r="DC37" s="399"/>
      <c r="DD37" s="399"/>
      <c r="DE37" s="399"/>
      <c r="DF37" s="399"/>
      <c r="DG37" s="399"/>
      <c r="DH37" s="399"/>
      <c r="DI37" s="399"/>
      <c r="DJ37" s="399"/>
      <c r="DK37" s="399">
        <v>0</v>
      </c>
      <c r="DL37" s="399"/>
      <c r="DM37" s="399"/>
      <c r="DN37" s="399"/>
      <c r="DO37" s="399"/>
      <c r="DP37" s="399"/>
      <c r="DQ37" s="399"/>
      <c r="DR37" s="399"/>
      <c r="DS37" s="399"/>
      <c r="DT37" s="399"/>
      <c r="DU37" s="399"/>
      <c r="DV37" s="399"/>
      <c r="DW37" s="399"/>
      <c r="DX37" s="399"/>
      <c r="DY37" s="399"/>
      <c r="DZ37" s="399"/>
      <c r="EA37" s="399"/>
      <c r="EB37" s="399"/>
      <c r="EC37" s="399"/>
      <c r="ED37" s="399"/>
      <c r="EE37" s="399"/>
      <c r="EF37" s="399"/>
      <c r="EG37" s="399"/>
      <c r="EH37" s="399"/>
      <c r="EI37" s="399"/>
      <c r="EJ37" s="399"/>
      <c r="EK37" s="399"/>
      <c r="EL37" s="399"/>
      <c r="EM37" s="399"/>
      <c r="EN37" s="399"/>
      <c r="EO37" s="399"/>
      <c r="EP37" s="399"/>
      <c r="EQ37" s="399"/>
      <c r="ER37" s="399"/>
      <c r="ES37" s="399"/>
      <c r="ET37" s="399"/>
      <c r="EU37" s="399"/>
      <c r="EV37" s="399">
        <v>218</v>
      </c>
      <c r="EW37" s="399"/>
      <c r="EX37" s="399"/>
      <c r="EY37" s="399"/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2334</v>
      </c>
      <c r="D38" s="399" t="s">
        <v>533</v>
      </c>
      <c r="E38" s="399" t="s">
        <v>921</v>
      </c>
      <c r="F38" s="399" t="s">
        <v>2362</v>
      </c>
      <c r="G38" s="399" t="s">
        <v>1239</v>
      </c>
      <c r="H38" s="399" t="s">
        <v>1239</v>
      </c>
      <c r="I38" s="399" t="s">
        <v>893</v>
      </c>
      <c r="J38" s="399" t="s">
        <v>2329</v>
      </c>
      <c r="K38" s="789">
        <v>44440</v>
      </c>
      <c r="L38" s="399">
        <v>0</v>
      </c>
      <c r="M38" s="399">
        <v>0</v>
      </c>
      <c r="N38" s="399">
        <v>1.157</v>
      </c>
      <c r="O38" s="399">
        <v>1.08758</v>
      </c>
      <c r="P38" s="399">
        <v>1.157</v>
      </c>
      <c r="Q38" s="399">
        <v>1.08758</v>
      </c>
      <c r="R38" s="399"/>
      <c r="S38" s="399">
        <v>2741.05</v>
      </c>
      <c r="T38" s="399">
        <v>141.32</v>
      </c>
      <c r="U38" s="399"/>
      <c r="V38" s="399">
        <v>3334.90209</v>
      </c>
      <c r="W38" s="399">
        <v>3334.90209</v>
      </c>
      <c r="X38" s="399">
        <v>2387.9091599999997</v>
      </c>
      <c r="Y38" s="399">
        <v>0</v>
      </c>
      <c r="Z38" s="399">
        <v>61.076904203556232</v>
      </c>
      <c r="AA38" s="399">
        <v>0</v>
      </c>
      <c r="AB38" s="399">
        <v>0</v>
      </c>
      <c r="AC38" s="399">
        <v>0</v>
      </c>
      <c r="AD38" s="399">
        <v>918.15063135111222</v>
      </c>
      <c r="AE38" s="399">
        <v>2172.6247081098936</v>
      </c>
      <c r="AF38" s="399">
        <v>163.50600204700783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10.854965147760929</v>
      </c>
      <c r="AM38" s="399"/>
      <c r="AN38" s="399">
        <v>0.69505897118525295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7.9982928975618517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>
        <v>143.27454960000006</v>
      </c>
      <c r="BR38" s="399"/>
      <c r="BS38" s="399"/>
      <c r="BT38" s="399"/>
      <c r="BU38" s="399"/>
      <c r="BV38" s="399">
        <v>171.50429494456966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2249.6291999999999</v>
      </c>
      <c r="CJ38" s="399">
        <v>-885.2087646000009</v>
      </c>
      <c r="CK38" s="399"/>
      <c r="CL38" s="399"/>
      <c r="CM38" s="399"/>
      <c r="CN38" s="399"/>
      <c r="CO38" s="399">
        <v>-946.99293000000034</v>
      </c>
      <c r="CP38" s="399">
        <v>0</v>
      </c>
      <c r="CQ38" s="399">
        <v>30</v>
      </c>
      <c r="CR38" s="399">
        <v>-8.3846052077806235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-4.3728789056566484</v>
      </c>
      <c r="DA38" s="399">
        <v>0</v>
      </c>
      <c r="DB38" s="399">
        <v>0</v>
      </c>
      <c r="DC38" s="399">
        <v>0</v>
      </c>
      <c r="DD38" s="399">
        <v>0</v>
      </c>
      <c r="DE38" s="399">
        <v>0</v>
      </c>
      <c r="DF38" s="399">
        <v>0</v>
      </c>
      <c r="DG38" s="399">
        <v>0</v>
      </c>
      <c r="DH38" s="399">
        <v>0</v>
      </c>
      <c r="DI38" s="399">
        <v>-3.4412964060221185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-0.54240309582019641</v>
      </c>
      <c r="DP38" s="399">
        <v>-2.8026800281506836E-2</v>
      </c>
      <c r="DQ38" s="399">
        <v>0</v>
      </c>
      <c r="DR38" s="399">
        <v>0</v>
      </c>
      <c r="DS38" s="399"/>
      <c r="DT38" s="399"/>
      <c r="DU38" s="399"/>
      <c r="DV38" s="399">
        <v>2172.6247081098936</v>
      </c>
      <c r="DW38" s="399">
        <v>0</v>
      </c>
      <c r="DX38" s="399">
        <v>0</v>
      </c>
      <c r="DY38" s="399">
        <v>-946.99293000000034</v>
      </c>
      <c r="DZ38" s="399">
        <v>0</v>
      </c>
      <c r="EA38" s="399">
        <v>0</v>
      </c>
      <c r="EB38" s="399">
        <v>0</v>
      </c>
      <c r="EC38" s="399">
        <v>-938.61598832634286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218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2334</v>
      </c>
      <c r="D39" s="399" t="s">
        <v>533</v>
      </c>
      <c r="E39" s="399" t="s">
        <v>921</v>
      </c>
      <c r="F39" s="399" t="s">
        <v>2362</v>
      </c>
      <c r="G39" s="399" t="s">
        <v>1239</v>
      </c>
      <c r="H39" s="399" t="s">
        <v>1239</v>
      </c>
      <c r="I39" s="399" t="s">
        <v>2326</v>
      </c>
      <c r="J39" s="399" t="s">
        <v>2329</v>
      </c>
      <c r="K39" s="789">
        <v>44440</v>
      </c>
      <c r="L39" s="399">
        <v>0</v>
      </c>
      <c r="M39" s="399">
        <v>0</v>
      </c>
      <c r="N39" s="399">
        <v>8.99</v>
      </c>
      <c r="O39" s="399">
        <v>8.4505999999999997</v>
      </c>
      <c r="P39" s="399">
        <v>8.99</v>
      </c>
      <c r="Q39" s="399">
        <v>8.4505999999999997</v>
      </c>
      <c r="R39" s="399"/>
      <c r="S39" s="399">
        <v>69.680000000000007</v>
      </c>
      <c r="T39" s="399">
        <v>141.32</v>
      </c>
      <c r="U39" s="399"/>
      <c r="V39" s="399">
        <v>1896.8899999999999</v>
      </c>
      <c r="W39" s="399">
        <v>1896.8899999999999</v>
      </c>
      <c r="X39" s="399">
        <v>1865.7846</v>
      </c>
      <c r="Y39" s="399">
        <v>0</v>
      </c>
      <c r="Z39" s="399">
        <v>474.57335245459853</v>
      </c>
      <c r="AA39" s="399">
        <v>0</v>
      </c>
      <c r="AB39" s="399">
        <v>0</v>
      </c>
      <c r="AC39" s="399">
        <v>0</v>
      </c>
      <c r="AD39" s="399">
        <v>0</v>
      </c>
      <c r="AE39" s="399">
        <v>0</v>
      </c>
      <c r="AF39" s="399">
        <v>1270.4571809875542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84.344111217260803</v>
      </c>
      <c r="AM39" s="399"/>
      <c r="AN39" s="399">
        <v>5.4006742877747831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62.147496239482322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>
        <v>111.94707600000011</v>
      </c>
      <c r="BR39" s="399"/>
      <c r="BS39" s="399"/>
      <c r="BT39" s="399"/>
      <c r="BU39" s="399"/>
      <c r="BV39" s="399">
        <v>1332.6046772270365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1753.7129999999997</v>
      </c>
      <c r="CJ39" s="399">
        <v>-29.393600000000106</v>
      </c>
      <c r="CK39" s="399"/>
      <c r="CL39" s="399"/>
      <c r="CM39" s="399"/>
      <c r="CN39" s="399"/>
      <c r="CO39" s="399">
        <v>-31.105400000000071</v>
      </c>
      <c r="CP39" s="399">
        <v>0</v>
      </c>
      <c r="CQ39" s="399">
        <v>30</v>
      </c>
      <c r="CR39" s="399">
        <v>-31.1714947762257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</v>
      </c>
      <c r="DA39" s="399">
        <v>0</v>
      </c>
      <c r="DB39" s="399">
        <v>0</v>
      </c>
      <c r="DC39" s="399">
        <v>0</v>
      </c>
      <c r="DD39" s="399">
        <v>0</v>
      </c>
      <c r="DE39" s="399">
        <v>0</v>
      </c>
      <c r="DF39" s="399">
        <v>0</v>
      </c>
      <c r="DG39" s="399">
        <v>0</v>
      </c>
      <c r="DH39" s="399">
        <v>0</v>
      </c>
      <c r="DI39" s="399">
        <v>-26.739200250768249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-4.2145236226651406</v>
      </c>
      <c r="DP39" s="399">
        <v>-0.21777090279234823</v>
      </c>
      <c r="DQ39" s="399">
        <v>0</v>
      </c>
      <c r="DR39" s="399">
        <v>0</v>
      </c>
      <c r="DS39" s="399"/>
      <c r="DT39" s="399"/>
      <c r="DU39" s="399"/>
      <c r="DV39" s="399">
        <v>0</v>
      </c>
      <c r="DW39" s="399">
        <v>0</v>
      </c>
      <c r="DX39" s="399">
        <v>0</v>
      </c>
      <c r="DY39" s="399">
        <v>-31.105400000000031</v>
      </c>
      <c r="DZ39" s="399">
        <v>0</v>
      </c>
      <c r="EA39" s="399">
        <v>0</v>
      </c>
      <c r="EB39" s="399">
        <v>0</v>
      </c>
      <c r="EC39" s="399">
        <v>0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218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2334</v>
      </c>
      <c r="D40" s="399" t="s">
        <v>533</v>
      </c>
      <c r="E40" s="399" t="s">
        <v>921</v>
      </c>
      <c r="F40" s="399" t="s">
        <v>2362</v>
      </c>
      <c r="G40" s="399" t="s">
        <v>1239</v>
      </c>
      <c r="H40" s="399" t="s">
        <v>1239</v>
      </c>
      <c r="I40" s="399" t="s">
        <v>1239</v>
      </c>
      <c r="J40" s="399" t="s">
        <v>2329</v>
      </c>
      <c r="K40" s="789">
        <v>44440</v>
      </c>
      <c r="L40" s="399">
        <v>80</v>
      </c>
      <c r="M40" s="399">
        <v>75.2</v>
      </c>
      <c r="N40" s="399">
        <v>0</v>
      </c>
      <c r="O40" s="399">
        <v>0</v>
      </c>
      <c r="P40" s="399">
        <v>0</v>
      </c>
      <c r="Q40" s="399">
        <v>0</v>
      </c>
      <c r="R40" s="399">
        <v>35.15</v>
      </c>
      <c r="S40" s="399"/>
      <c r="T40" s="399"/>
      <c r="U40" s="399">
        <v>2812</v>
      </c>
      <c r="V40" s="399"/>
      <c r="W40" s="399">
        <v>2812</v>
      </c>
      <c r="X40" s="399">
        <v>2052.8000000000002</v>
      </c>
      <c r="Y40" s="399">
        <v>0</v>
      </c>
      <c r="Z40" s="399">
        <v>0</v>
      </c>
      <c r="AA40" s="399">
        <v>0</v>
      </c>
      <c r="AB40" s="399">
        <v>0</v>
      </c>
      <c r="AC40" s="399">
        <v>0</v>
      </c>
      <c r="AD40" s="399">
        <v>1066.5098634019919</v>
      </c>
      <c r="AE40" s="399">
        <v>1745.438177702664</v>
      </c>
      <c r="AF40" s="399"/>
      <c r="AG40" s="399"/>
      <c r="AH40" s="399"/>
      <c r="AI40" s="399">
        <v>0</v>
      </c>
      <c r="AJ40" s="399">
        <v>0</v>
      </c>
      <c r="AK40" s="399">
        <v>0</v>
      </c>
      <c r="AL40" s="399">
        <v>0</v>
      </c>
      <c r="AM40" s="399"/>
      <c r="AN40" s="399">
        <v>0</v>
      </c>
      <c r="AO40" s="399">
        <v>0</v>
      </c>
      <c r="AP40" s="399">
        <v>0</v>
      </c>
      <c r="AQ40" s="399">
        <v>0</v>
      </c>
      <c r="AR40" s="399">
        <v>0</v>
      </c>
      <c r="AS40" s="399"/>
      <c r="AT40" s="399"/>
      <c r="AU40" s="399">
        <v>0</v>
      </c>
      <c r="AV40" s="399">
        <v>0</v>
      </c>
      <c r="AW40" s="399">
        <v>0</v>
      </c>
      <c r="AX40" s="399"/>
      <c r="AY40" s="399"/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/>
      <c r="BG40" s="399">
        <v>0</v>
      </c>
      <c r="BH40" s="399">
        <v>0</v>
      </c>
      <c r="BI40" s="399">
        <v>54.5</v>
      </c>
      <c r="BJ40" s="399">
        <v>251.56</v>
      </c>
      <c r="BK40" s="399">
        <v>2795.1</v>
      </c>
      <c r="BL40" s="399">
        <v>1</v>
      </c>
      <c r="BM40" s="399"/>
      <c r="BN40" s="399"/>
      <c r="BO40" s="399"/>
      <c r="BP40" s="399"/>
      <c r="BQ40" s="399">
        <v>123.16799999999992</v>
      </c>
      <c r="BR40" s="399"/>
      <c r="BS40" s="399"/>
      <c r="BT40" s="399"/>
      <c r="BU40" s="399"/>
      <c r="BV40" s="399">
        <v>0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1929.6320000000001</v>
      </c>
      <c r="CJ40" s="399">
        <v>-713.67800000000079</v>
      </c>
      <c r="CK40" s="399"/>
      <c r="CL40" s="399"/>
      <c r="CM40" s="399"/>
      <c r="CN40" s="399"/>
      <c r="CO40" s="399">
        <v>-759.19999999999982</v>
      </c>
      <c r="CP40" s="399">
        <v>0</v>
      </c>
      <c r="CQ40" s="399">
        <v>30</v>
      </c>
      <c r="CR40" s="399">
        <v>-5.0794698877198243</v>
      </c>
      <c r="CS40" s="399">
        <v>0</v>
      </c>
      <c r="CT40" s="399">
        <v>0</v>
      </c>
      <c r="CU40" s="399">
        <v>0</v>
      </c>
      <c r="CV40" s="399">
        <v>0</v>
      </c>
      <c r="CW40" s="399"/>
      <c r="CX40" s="399"/>
      <c r="CY40" s="399"/>
      <c r="CZ40" s="399">
        <v>-5.0794698877198243</v>
      </c>
      <c r="DA40" s="399">
        <v>0</v>
      </c>
      <c r="DB40" s="399">
        <v>0</v>
      </c>
      <c r="DC40" s="399"/>
      <c r="DD40" s="399"/>
      <c r="DE40" s="399">
        <v>0</v>
      </c>
      <c r="DF40" s="399">
        <v>0</v>
      </c>
      <c r="DG40" s="399">
        <v>0</v>
      </c>
      <c r="DH40" s="399">
        <v>0</v>
      </c>
      <c r="DI40" s="399">
        <v>0</v>
      </c>
      <c r="DJ40" s="399"/>
      <c r="DK40" s="399">
        <v>0</v>
      </c>
      <c r="DL40" s="399">
        <v>0</v>
      </c>
      <c r="DM40" s="399"/>
      <c r="DN40" s="399">
        <v>0</v>
      </c>
      <c r="DO40" s="399">
        <v>0</v>
      </c>
      <c r="DP40" s="399">
        <v>0</v>
      </c>
      <c r="DQ40" s="399">
        <v>0</v>
      </c>
      <c r="DR40" s="399">
        <v>0</v>
      </c>
      <c r="DS40" s="399"/>
      <c r="DT40" s="399"/>
      <c r="DU40" s="399">
        <v>1745.438177702664</v>
      </c>
      <c r="DV40" s="399"/>
      <c r="DW40" s="399">
        <v>0</v>
      </c>
      <c r="DX40" s="399">
        <v>0</v>
      </c>
      <c r="DY40" s="399">
        <v>-759.19999999999982</v>
      </c>
      <c r="DZ40" s="399"/>
      <c r="EA40" s="399">
        <v>0</v>
      </c>
      <c r="EB40" s="399"/>
      <c r="EC40" s="399">
        <v>-754.06312655450404</v>
      </c>
      <c r="ED40" s="399"/>
      <c r="EE40" s="399">
        <v>0</v>
      </c>
      <c r="EF40" s="399">
        <v>0</v>
      </c>
      <c r="EG40" s="399"/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/>
      <c r="EN40" s="399"/>
      <c r="EO40" s="399">
        <v>0</v>
      </c>
      <c r="EP40" s="399">
        <v>0</v>
      </c>
      <c r="EQ40" s="399"/>
      <c r="ER40" s="399">
        <v>0</v>
      </c>
      <c r="ES40" s="399"/>
      <c r="ET40" s="399">
        <v>0</v>
      </c>
      <c r="EU40" s="399"/>
      <c r="EV40" s="399">
        <v>218</v>
      </c>
      <c r="EW40" s="399"/>
      <c r="EX40" s="399"/>
      <c r="EY40" s="399"/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2328</v>
      </c>
      <c r="D41" s="399" t="s">
        <v>2335</v>
      </c>
      <c r="E41" s="399" t="s">
        <v>894</v>
      </c>
      <c r="F41" s="399" t="s">
        <v>2363</v>
      </c>
      <c r="G41" s="399" t="s">
        <v>2340</v>
      </c>
      <c r="H41" s="399" t="s">
        <v>1239</v>
      </c>
      <c r="I41" s="399" t="s">
        <v>1239</v>
      </c>
      <c r="J41" s="399" t="s">
        <v>2329</v>
      </c>
      <c r="K41" s="789">
        <v>44440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37.619999999999997</v>
      </c>
      <c r="BJ41" s="399">
        <v>174.23</v>
      </c>
      <c r="BK41" s="399">
        <v>1060.6400000000001</v>
      </c>
      <c r="BL41" s="399">
        <v>22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30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218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2361</v>
      </c>
      <c r="C42" s="399" t="s">
        <v>2328</v>
      </c>
      <c r="D42" s="399" t="s">
        <v>2335</v>
      </c>
      <c r="E42" s="399" t="s">
        <v>894</v>
      </c>
      <c r="F42" s="399" t="s">
        <v>2363</v>
      </c>
      <c r="G42" s="399" t="s">
        <v>2340</v>
      </c>
      <c r="H42" s="399" t="s">
        <v>1239</v>
      </c>
      <c r="I42" s="399" t="s">
        <v>1239</v>
      </c>
      <c r="J42" s="399" t="s">
        <v>2329</v>
      </c>
      <c r="K42" s="789">
        <v>44440</v>
      </c>
      <c r="L42" s="399">
        <v>0</v>
      </c>
      <c r="M42" s="399">
        <v>0</v>
      </c>
      <c r="N42" s="399">
        <v>0</v>
      </c>
      <c r="O42" s="399">
        <v>0</v>
      </c>
      <c r="P42" s="399">
        <v>0</v>
      </c>
      <c r="Q42" s="399">
        <v>0</v>
      </c>
      <c r="R42" s="399"/>
      <c r="S42" s="399"/>
      <c r="T42" s="399"/>
      <c r="U42" s="399"/>
      <c r="V42" s="399"/>
      <c r="W42" s="399"/>
      <c r="X42" s="399"/>
      <c r="Y42" s="399"/>
      <c r="Z42" s="399"/>
      <c r="AA42" s="399">
        <v>0</v>
      </c>
      <c r="AB42" s="399"/>
      <c r="AC42" s="399"/>
      <c r="AD42" s="399"/>
      <c r="AE42" s="399"/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>
        <v>0</v>
      </c>
      <c r="BA42" s="399"/>
      <c r="BB42" s="399"/>
      <c r="BC42" s="399"/>
      <c r="BD42" s="399"/>
      <c r="BE42" s="399"/>
      <c r="BF42" s="399"/>
      <c r="BG42" s="399"/>
      <c r="BH42" s="399"/>
      <c r="BI42" s="399">
        <v>1</v>
      </c>
      <c r="BJ42" s="399">
        <v>4.7300000000000004</v>
      </c>
      <c r="BK42" s="399">
        <v>28.6</v>
      </c>
      <c r="BL42" s="399">
        <v>3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/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>
        <v>-0.03</v>
      </c>
      <c r="CK42" s="399"/>
      <c r="CL42" s="399"/>
      <c r="CM42" s="399"/>
      <c r="CN42" s="399"/>
      <c r="CO42" s="399">
        <v>0</v>
      </c>
      <c r="CP42" s="399">
        <v>0</v>
      </c>
      <c r="CQ42" s="399">
        <v>30</v>
      </c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  <c r="DJ42" s="399"/>
      <c r="DK42" s="399">
        <v>0</v>
      </c>
      <c r="DL42" s="399"/>
      <c r="DM42" s="399"/>
      <c r="DN42" s="399"/>
      <c r="DO42" s="399"/>
      <c r="DP42" s="399"/>
      <c r="DQ42" s="399"/>
      <c r="DR42" s="399"/>
      <c r="DS42" s="399"/>
      <c r="DT42" s="399"/>
      <c r="DU42" s="399"/>
      <c r="DV42" s="399"/>
      <c r="DW42" s="399"/>
      <c r="DX42" s="399"/>
      <c r="DY42" s="399"/>
      <c r="DZ42" s="399"/>
      <c r="EA42" s="399"/>
      <c r="EB42" s="399"/>
      <c r="EC42" s="399"/>
      <c r="ED42" s="399"/>
      <c r="EE42" s="399"/>
      <c r="EF42" s="399"/>
      <c r="EG42" s="399"/>
      <c r="EH42" s="399"/>
      <c r="EI42" s="399"/>
      <c r="EJ42" s="399"/>
      <c r="EK42" s="399"/>
      <c r="EL42" s="399"/>
      <c r="EM42" s="399"/>
      <c r="EN42" s="399"/>
      <c r="EO42" s="399"/>
      <c r="EP42" s="399"/>
      <c r="EQ42" s="399"/>
      <c r="ER42" s="399"/>
      <c r="ES42" s="399"/>
      <c r="ET42" s="399"/>
      <c r="EU42" s="399"/>
      <c r="EV42" s="399">
        <v>218</v>
      </c>
      <c r="EW42" s="399"/>
      <c r="EX42" s="399"/>
      <c r="EY42" s="399"/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2328</v>
      </c>
      <c r="D43" s="399" t="s">
        <v>2335</v>
      </c>
      <c r="E43" s="399" t="s">
        <v>894</v>
      </c>
      <c r="F43" s="399" t="s">
        <v>2363</v>
      </c>
      <c r="G43" s="399" t="s">
        <v>2340</v>
      </c>
      <c r="H43" s="399" t="s">
        <v>1239</v>
      </c>
      <c r="I43" s="399" t="s">
        <v>1239</v>
      </c>
      <c r="J43" s="399" t="s">
        <v>2329</v>
      </c>
      <c r="K43" s="789">
        <v>44440</v>
      </c>
      <c r="L43" s="399">
        <v>0</v>
      </c>
      <c r="M43" s="399">
        <v>0</v>
      </c>
      <c r="N43" s="399">
        <v>4.1989999999999998</v>
      </c>
      <c r="O43" s="399">
        <v>4.1989999999999998</v>
      </c>
      <c r="P43" s="399">
        <v>4.1989999999999998</v>
      </c>
      <c r="Q43" s="399">
        <v>4.1989999999999998</v>
      </c>
      <c r="R43" s="399"/>
      <c r="S43" s="399">
        <v>521.86</v>
      </c>
      <c r="T43" s="399">
        <v>141.32</v>
      </c>
      <c r="U43" s="399"/>
      <c r="V43" s="399">
        <v>2784.6928200000002</v>
      </c>
      <c r="W43" s="399">
        <v>2784.6928200000002</v>
      </c>
      <c r="X43" s="399">
        <v>2176.46767</v>
      </c>
      <c r="Y43" s="399">
        <v>0</v>
      </c>
      <c r="Z43" s="399">
        <v>254.78290143030685</v>
      </c>
      <c r="AA43" s="399">
        <v>0</v>
      </c>
      <c r="AB43" s="399">
        <v>0</v>
      </c>
      <c r="AC43" s="399">
        <v>0</v>
      </c>
      <c r="AD43" s="399">
        <v>451.61841553544349</v>
      </c>
      <c r="AE43" s="399">
        <v>1364.46838760891</v>
      </c>
      <c r="AF43" s="399">
        <v>593.39818720430924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39.394985873334605</v>
      </c>
      <c r="AM43" s="399"/>
      <c r="AN43" s="399">
        <v>5.8234532039146734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75.182666748175137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>
        <v>261.17779999999999</v>
      </c>
      <c r="BS43" s="399"/>
      <c r="BT43" s="399"/>
      <c r="BU43" s="399"/>
      <c r="BV43" s="399">
        <v>668.5808539524844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1915.7460000000001</v>
      </c>
      <c r="CJ43" s="399">
        <v>-534.77840999999989</v>
      </c>
      <c r="CK43" s="399"/>
      <c r="CL43" s="399"/>
      <c r="CM43" s="399"/>
      <c r="CN43" s="399"/>
      <c r="CO43" s="399">
        <v>-608.2251500000001</v>
      </c>
      <c r="CP43" s="399">
        <v>0</v>
      </c>
      <c r="CQ43" s="399">
        <v>30</v>
      </c>
      <c r="CR43" s="399">
        <v>-18.709641171537214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-2.1509244510278904</v>
      </c>
      <c r="DA43" s="399">
        <v>0</v>
      </c>
      <c r="DB43" s="399">
        <v>0</v>
      </c>
      <c r="DC43" s="399">
        <v>0</v>
      </c>
      <c r="DD43" s="399">
        <v>0</v>
      </c>
      <c r="DE43" s="399">
        <v>0</v>
      </c>
      <c r="DF43" s="399">
        <v>0</v>
      </c>
      <c r="DG43" s="399">
        <v>0</v>
      </c>
      <c r="DH43" s="399">
        <v>0</v>
      </c>
      <c r="DI43" s="399">
        <v>-14.35540151291633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-1.9684966286508256</v>
      </c>
      <c r="DP43" s="399">
        <v>-0.23481857894227254</v>
      </c>
      <c r="DQ43" s="399">
        <v>0</v>
      </c>
      <c r="DR43" s="399">
        <v>0</v>
      </c>
      <c r="DS43" s="399"/>
      <c r="DT43" s="399"/>
      <c r="DU43" s="399"/>
      <c r="DV43" s="399">
        <v>1364.46838760891</v>
      </c>
      <c r="DW43" s="399">
        <v>0</v>
      </c>
      <c r="DX43" s="399">
        <v>0</v>
      </c>
      <c r="DY43" s="399">
        <v>-608.22515000000021</v>
      </c>
      <c r="DZ43" s="399">
        <v>0</v>
      </c>
      <c r="EA43" s="399">
        <v>0</v>
      </c>
      <c r="EB43" s="399">
        <v>0</v>
      </c>
      <c r="EC43" s="399">
        <v>-589.47679246903022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218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2361</v>
      </c>
      <c r="C44" s="399" t="s">
        <v>2328</v>
      </c>
      <c r="D44" s="399" t="s">
        <v>2335</v>
      </c>
      <c r="E44" s="399" t="s">
        <v>894</v>
      </c>
      <c r="F44" s="399" t="s">
        <v>2363</v>
      </c>
      <c r="G44" s="399" t="s">
        <v>2340</v>
      </c>
      <c r="H44" s="399" t="s">
        <v>1239</v>
      </c>
      <c r="I44" s="399" t="s">
        <v>1239</v>
      </c>
      <c r="J44" s="399" t="s">
        <v>2329</v>
      </c>
      <c r="K44" s="789">
        <v>44440</v>
      </c>
      <c r="L44" s="399">
        <v>0</v>
      </c>
      <c r="M44" s="399">
        <v>0</v>
      </c>
      <c r="N44" s="399">
        <v>0.22900000000000001</v>
      </c>
      <c r="O44" s="399">
        <v>0.22900000000000001</v>
      </c>
      <c r="P44" s="399">
        <v>0.22900000000000001</v>
      </c>
      <c r="Q44" s="399">
        <v>0.22900000000000001</v>
      </c>
      <c r="R44" s="399"/>
      <c r="S44" s="399">
        <v>521.86</v>
      </c>
      <c r="T44" s="399">
        <v>141.32</v>
      </c>
      <c r="U44" s="399"/>
      <c r="V44" s="399">
        <v>151.86822000000001</v>
      </c>
      <c r="W44" s="399">
        <v>151.86822000000001</v>
      </c>
      <c r="X44" s="399">
        <v>118.69757</v>
      </c>
      <c r="Y44" s="399">
        <v>0</v>
      </c>
      <c r="Z44" s="399">
        <v>13.895042731016973</v>
      </c>
      <c r="AA44" s="399">
        <v>0</v>
      </c>
      <c r="AB44" s="399">
        <v>0</v>
      </c>
      <c r="AC44" s="399">
        <v>0</v>
      </c>
      <c r="AD44" s="399">
        <v>24.629820709125166</v>
      </c>
      <c r="AE44" s="399">
        <v>74.41373202249116</v>
      </c>
      <c r="AF44" s="399">
        <v>32.362034977324797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2.1484762479146524</v>
      </c>
      <c r="AM44" s="399"/>
      <c r="AN44" s="399">
        <v>0.31759247051594675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4.1002216445182444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>
        <v>14.243800000000002</v>
      </c>
      <c r="BS44" s="399"/>
      <c r="BT44" s="399"/>
      <c r="BU44" s="399"/>
      <c r="BV44" s="399">
        <v>36.462256621843039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104.90990000000001</v>
      </c>
      <c r="CJ44" s="399">
        <v>-28.762209999999996</v>
      </c>
      <c r="CK44" s="399"/>
      <c r="CL44" s="399"/>
      <c r="CM44" s="399"/>
      <c r="CN44" s="399"/>
      <c r="CO44" s="399">
        <v>-33.170650000000009</v>
      </c>
      <c r="CP44" s="399">
        <v>0</v>
      </c>
      <c r="CQ44" s="399">
        <v>30</v>
      </c>
      <c r="CR44" s="399">
        <v>-1.0203638552708014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-0.11730452471669395</v>
      </c>
      <c r="DA44" s="399">
        <v>0</v>
      </c>
      <c r="DB44" s="399">
        <v>0</v>
      </c>
      <c r="DC44" s="399">
        <v>0</v>
      </c>
      <c r="DD44" s="399">
        <v>0</v>
      </c>
      <c r="DE44" s="399">
        <v>0</v>
      </c>
      <c r="DF44" s="399">
        <v>0</v>
      </c>
      <c r="DG44" s="399">
        <v>0</v>
      </c>
      <c r="DH44" s="399">
        <v>0</v>
      </c>
      <c r="DI44" s="399">
        <v>-0.78289758191422543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-0.10735549606121442</v>
      </c>
      <c r="DP44" s="399">
        <v>-1.2806252578656918E-2</v>
      </c>
      <c r="DQ44" s="399">
        <v>0</v>
      </c>
      <c r="DR44" s="399">
        <v>0</v>
      </c>
      <c r="DS44" s="399"/>
      <c r="DT44" s="399"/>
      <c r="DU44" s="399"/>
      <c r="DV44" s="399">
        <v>74.41373202249116</v>
      </c>
      <c r="DW44" s="399">
        <v>0</v>
      </c>
      <c r="DX44" s="399">
        <v>0</v>
      </c>
      <c r="DY44" s="399">
        <v>-33.170650000000009</v>
      </c>
      <c r="DZ44" s="399">
        <v>0</v>
      </c>
      <c r="EA44" s="399">
        <v>0</v>
      </c>
      <c r="EB44" s="399">
        <v>0</v>
      </c>
      <c r="EC44" s="399">
        <v>-32.148174678592021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218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2328</v>
      </c>
      <c r="D45" s="399" t="s">
        <v>2335</v>
      </c>
      <c r="E45" s="399" t="s">
        <v>894</v>
      </c>
      <c r="F45" s="399" t="s">
        <v>2363</v>
      </c>
      <c r="G45" s="399" t="s">
        <v>2341</v>
      </c>
      <c r="H45" s="399" t="s">
        <v>1239</v>
      </c>
      <c r="I45" s="399" t="s">
        <v>1239</v>
      </c>
      <c r="J45" s="399" t="s">
        <v>2329</v>
      </c>
      <c r="K45" s="789">
        <v>44440</v>
      </c>
      <c r="L45" s="399">
        <v>0</v>
      </c>
      <c r="M45" s="399">
        <v>0</v>
      </c>
      <c r="N45" s="399">
        <v>4.4800000000000004</v>
      </c>
      <c r="O45" s="399">
        <v>1.792</v>
      </c>
      <c r="P45" s="399">
        <v>4.4800000000000004</v>
      </c>
      <c r="Q45" s="399">
        <v>1.792</v>
      </c>
      <c r="R45" s="399"/>
      <c r="S45" s="399">
        <v>521.86</v>
      </c>
      <c r="T45" s="399">
        <v>141.32</v>
      </c>
      <c r="U45" s="399"/>
      <c r="V45" s="399">
        <v>2971.0464000000006</v>
      </c>
      <c r="W45" s="399">
        <v>2971.0464000000006</v>
      </c>
      <c r="X45" s="399">
        <v>2322.1184000000003</v>
      </c>
      <c r="Y45" s="399">
        <v>0</v>
      </c>
      <c r="Z45" s="399">
        <v>271.83315037098708</v>
      </c>
      <c r="AA45" s="399">
        <v>0</v>
      </c>
      <c r="AB45" s="399">
        <v>0</v>
      </c>
      <c r="AC45" s="399">
        <v>0</v>
      </c>
      <c r="AD45" s="399">
        <v>481.84103396017792</v>
      </c>
      <c r="AE45" s="399">
        <v>1455.7795609640193</v>
      </c>
      <c r="AF45" s="399">
        <v>633.10880654329742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42.031325723395824</v>
      </c>
      <c r="AM45" s="399"/>
      <c r="AN45" s="399">
        <v>6.2131627419713604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80.213943089265229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/>
      <c r="BS45" s="399">
        <v>1504.7334400000004</v>
      </c>
      <c r="BT45" s="399"/>
      <c r="BU45" s="399"/>
      <c r="BV45" s="399">
        <v>713.32274963256259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816.47270000000003</v>
      </c>
      <c r="CJ45" s="399">
        <v>-229.35058000000004</v>
      </c>
      <c r="CK45" s="399"/>
      <c r="CL45" s="399"/>
      <c r="CM45" s="399"/>
      <c r="CN45" s="399"/>
      <c r="CO45" s="399">
        <v>-648.92800000000011</v>
      </c>
      <c r="CP45" s="399">
        <v>0</v>
      </c>
      <c r="CQ45" s="399">
        <v>30</v>
      </c>
      <c r="CR45" s="399">
        <v>-19.961703369489669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-2.2948658110514657</v>
      </c>
      <c r="DA45" s="399">
        <v>0</v>
      </c>
      <c r="DB45" s="399">
        <v>0</v>
      </c>
      <c r="DC45" s="399">
        <v>0</v>
      </c>
      <c r="DD45" s="399">
        <v>0</v>
      </c>
      <c r="DE45" s="399">
        <v>0</v>
      </c>
      <c r="DF45" s="399">
        <v>0</v>
      </c>
      <c r="DG45" s="399">
        <v>0</v>
      </c>
      <c r="DH45" s="399">
        <v>0</v>
      </c>
      <c r="DI45" s="399">
        <v>-15.316074964959512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-2.1002297919399169</v>
      </c>
      <c r="DP45" s="399">
        <v>-0.25053280153879065</v>
      </c>
      <c r="DQ45" s="399">
        <v>0</v>
      </c>
      <c r="DR45" s="399">
        <v>0</v>
      </c>
      <c r="DS45" s="399"/>
      <c r="DT45" s="399"/>
      <c r="DU45" s="399"/>
      <c r="DV45" s="399">
        <v>1455.7795609640193</v>
      </c>
      <c r="DW45" s="399">
        <v>0</v>
      </c>
      <c r="DX45" s="399">
        <v>0</v>
      </c>
      <c r="DY45" s="399">
        <v>-648.92800000000034</v>
      </c>
      <c r="DZ45" s="399">
        <v>0</v>
      </c>
      <c r="EA45" s="399">
        <v>0</v>
      </c>
      <c r="EB45" s="399">
        <v>0</v>
      </c>
      <c r="EC45" s="399">
        <v>-628.92498934538116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218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2361</v>
      </c>
      <c r="C46" s="399" t="s">
        <v>2328</v>
      </c>
      <c r="D46" s="399" t="s">
        <v>2335</v>
      </c>
      <c r="E46" s="399" t="s">
        <v>894</v>
      </c>
      <c r="F46" s="399" t="s">
        <v>2363</v>
      </c>
      <c r="G46" s="399" t="s">
        <v>2341</v>
      </c>
      <c r="H46" s="399" t="s">
        <v>1239</v>
      </c>
      <c r="I46" s="399" t="s">
        <v>1239</v>
      </c>
      <c r="J46" s="399" t="s">
        <v>2329</v>
      </c>
      <c r="K46" s="789">
        <v>44440</v>
      </c>
      <c r="L46" s="399">
        <v>0</v>
      </c>
      <c r="M46" s="399">
        <v>0</v>
      </c>
      <c r="N46" s="399">
        <v>6.0000000000000001E-3</v>
      </c>
      <c r="O46" s="399">
        <v>2.3999999999999998E-3</v>
      </c>
      <c r="P46" s="399">
        <v>6.0000000000000001E-3</v>
      </c>
      <c r="Q46" s="399">
        <v>2.3999999999999998E-3</v>
      </c>
      <c r="R46" s="399"/>
      <c r="S46" s="399">
        <v>521.86</v>
      </c>
      <c r="T46" s="399">
        <v>141.32</v>
      </c>
      <c r="U46" s="399"/>
      <c r="V46" s="399">
        <v>3.9790799999999997</v>
      </c>
      <c r="W46" s="399">
        <v>3.9790799999999997</v>
      </c>
      <c r="X46" s="399">
        <v>3.1099800000000002</v>
      </c>
      <c r="Y46" s="399">
        <v>0</v>
      </c>
      <c r="Z46" s="399">
        <v>0.36406225496114342</v>
      </c>
      <c r="AA46" s="399">
        <v>0</v>
      </c>
      <c r="AB46" s="399">
        <v>0</v>
      </c>
      <c r="AC46" s="399">
        <v>0</v>
      </c>
      <c r="AD46" s="399">
        <v>0.64532281333952402</v>
      </c>
      <c r="AE46" s="399">
        <v>1.9497047691482401</v>
      </c>
      <c r="AF46" s="399">
        <v>0.84791358019191609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5.6291954093833689E-2</v>
      </c>
      <c r="AM46" s="399"/>
      <c r="AN46" s="399">
        <v>8.3212001008544992E-3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0.10742938806598019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/>
      <c r="BS46" s="399">
        <v>2.0152680000000003</v>
      </c>
      <c r="BT46" s="399"/>
      <c r="BU46" s="399"/>
      <c r="BV46" s="399">
        <v>0.95534296825789633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0</v>
      </c>
      <c r="CJ46" s="399">
        <v>-1.4306159999999999</v>
      </c>
      <c r="CK46" s="399"/>
      <c r="CL46" s="399"/>
      <c r="CM46" s="399"/>
      <c r="CN46" s="399"/>
      <c r="CO46" s="399">
        <v>-0.86910000000000021</v>
      </c>
      <c r="CP46" s="399">
        <v>0</v>
      </c>
      <c r="CQ46" s="399">
        <v>30</v>
      </c>
      <c r="CR46" s="399">
        <v>-2.6734424155566483E-2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-3.0734809969439336E-3</v>
      </c>
      <c r="DA46" s="399">
        <v>0</v>
      </c>
      <c r="DB46" s="399">
        <v>0</v>
      </c>
      <c r="DC46" s="399">
        <v>0</v>
      </c>
      <c r="DD46" s="399">
        <v>0</v>
      </c>
      <c r="DE46" s="399">
        <v>0</v>
      </c>
      <c r="DF46" s="399">
        <v>0</v>
      </c>
      <c r="DG46" s="399">
        <v>0</v>
      </c>
      <c r="DH46" s="399">
        <v>0</v>
      </c>
      <c r="DI46" s="399">
        <v>-2.051260039949937E-2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-2.8128077570623855E-3</v>
      </c>
      <c r="DP46" s="399">
        <v>-3.355350020608789E-4</v>
      </c>
      <c r="DQ46" s="399">
        <v>0</v>
      </c>
      <c r="DR46" s="399">
        <v>0</v>
      </c>
      <c r="DS46" s="399"/>
      <c r="DT46" s="399"/>
      <c r="DU46" s="399"/>
      <c r="DV46" s="399">
        <v>1.9497047691482401</v>
      </c>
      <c r="DW46" s="399">
        <v>0</v>
      </c>
      <c r="DX46" s="399">
        <v>0</v>
      </c>
      <c r="DY46" s="399">
        <v>-0.86909999999999998</v>
      </c>
      <c r="DZ46" s="399">
        <v>0</v>
      </c>
      <c r="EA46" s="399">
        <v>0</v>
      </c>
      <c r="EB46" s="399">
        <v>0</v>
      </c>
      <c r="EC46" s="399">
        <v>-0.84231025358756395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218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2328</v>
      </c>
      <c r="D47" s="399" t="s">
        <v>2335</v>
      </c>
      <c r="E47" s="399" t="s">
        <v>894</v>
      </c>
      <c r="F47" s="399" t="s">
        <v>2342</v>
      </c>
      <c r="G47" s="399" t="s">
        <v>2340</v>
      </c>
      <c r="H47" s="399" t="s">
        <v>1239</v>
      </c>
      <c r="I47" s="399" t="s">
        <v>1239</v>
      </c>
      <c r="J47" s="399" t="s">
        <v>2329</v>
      </c>
      <c r="K47" s="789">
        <v>44440</v>
      </c>
      <c r="L47" s="399">
        <v>0</v>
      </c>
      <c r="M47" s="399">
        <v>0</v>
      </c>
      <c r="N47" s="399">
        <v>0</v>
      </c>
      <c r="O47" s="399">
        <v>0</v>
      </c>
      <c r="P47" s="399">
        <v>0</v>
      </c>
      <c r="Q47" s="399">
        <v>0</v>
      </c>
      <c r="R47" s="399"/>
      <c r="S47" s="399"/>
      <c r="T47" s="399"/>
      <c r="U47" s="399"/>
      <c r="V47" s="399"/>
      <c r="W47" s="399"/>
      <c r="X47" s="399"/>
      <c r="Y47" s="399"/>
      <c r="Z47" s="399"/>
      <c r="AA47" s="399">
        <v>0</v>
      </c>
      <c r="AB47" s="399"/>
      <c r="AC47" s="399"/>
      <c r="AD47" s="399"/>
      <c r="AE47" s="399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>
        <v>0</v>
      </c>
      <c r="BA47" s="399"/>
      <c r="BB47" s="399"/>
      <c r="BC47" s="399"/>
      <c r="BD47" s="399"/>
      <c r="BE47" s="399"/>
      <c r="BF47" s="399"/>
      <c r="BG47" s="399"/>
      <c r="BH47" s="399"/>
      <c r="BI47" s="399">
        <v>79.11</v>
      </c>
      <c r="BJ47" s="399">
        <v>365.62</v>
      </c>
      <c r="BK47" s="399">
        <v>3027.74</v>
      </c>
      <c r="BL47" s="399">
        <v>19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/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/>
      <c r="CJ47" s="399">
        <v>-0.03</v>
      </c>
      <c r="CK47" s="399"/>
      <c r="CL47" s="399"/>
      <c r="CM47" s="399"/>
      <c r="CN47" s="399"/>
      <c r="CO47" s="399">
        <v>0</v>
      </c>
      <c r="CP47" s="399">
        <v>0</v>
      </c>
      <c r="CQ47" s="399">
        <v>30</v>
      </c>
      <c r="CR47" s="399"/>
      <c r="CS47" s="399"/>
      <c r="CT47" s="399"/>
      <c r="CU47" s="399"/>
      <c r="CV47" s="399"/>
      <c r="CW47" s="399"/>
      <c r="CX47" s="399"/>
      <c r="CY47" s="399"/>
      <c r="CZ47" s="399"/>
      <c r="DA47" s="399"/>
      <c r="DB47" s="399"/>
      <c r="DC47" s="399"/>
      <c r="DD47" s="399"/>
      <c r="DE47" s="399"/>
      <c r="DF47" s="399"/>
      <c r="DG47" s="399"/>
      <c r="DH47" s="399"/>
      <c r="DI47" s="399"/>
      <c r="DJ47" s="399"/>
      <c r="DK47" s="399">
        <v>0</v>
      </c>
      <c r="DL47" s="399"/>
      <c r="DM47" s="399"/>
      <c r="DN47" s="399"/>
      <c r="DO47" s="399"/>
      <c r="DP47" s="399"/>
      <c r="DQ47" s="399"/>
      <c r="DR47" s="399"/>
      <c r="DS47" s="399"/>
      <c r="DT47" s="399"/>
      <c r="DU47" s="399"/>
      <c r="DV47" s="399"/>
      <c r="DW47" s="399"/>
      <c r="DX47" s="399"/>
      <c r="DY47" s="399"/>
      <c r="DZ47" s="399"/>
      <c r="EA47" s="399"/>
      <c r="EB47" s="399"/>
      <c r="EC47" s="399"/>
      <c r="ED47" s="399"/>
      <c r="EE47" s="399"/>
      <c r="EF47" s="399"/>
      <c r="EG47" s="399"/>
      <c r="EH47" s="399"/>
      <c r="EI47" s="399"/>
      <c r="EJ47" s="399"/>
      <c r="EK47" s="399"/>
      <c r="EL47" s="399"/>
      <c r="EM47" s="399"/>
      <c r="EN47" s="399"/>
      <c r="EO47" s="399"/>
      <c r="EP47" s="399"/>
      <c r="EQ47" s="399"/>
      <c r="ER47" s="399"/>
      <c r="ES47" s="399"/>
      <c r="ET47" s="399"/>
      <c r="EU47" s="399"/>
      <c r="EV47" s="399">
        <v>218</v>
      </c>
      <c r="EW47" s="399"/>
      <c r="EX47" s="399"/>
      <c r="EY47" s="399"/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2361</v>
      </c>
      <c r="C48" s="399" t="s">
        <v>2328</v>
      </c>
      <c r="D48" s="399" t="s">
        <v>2335</v>
      </c>
      <c r="E48" s="399" t="s">
        <v>894</v>
      </c>
      <c r="F48" s="399" t="s">
        <v>2342</v>
      </c>
      <c r="G48" s="399" t="s">
        <v>2340</v>
      </c>
      <c r="H48" s="399" t="s">
        <v>1239</v>
      </c>
      <c r="I48" s="399" t="s">
        <v>1239</v>
      </c>
      <c r="J48" s="399" t="s">
        <v>2329</v>
      </c>
      <c r="K48" s="789">
        <v>44440</v>
      </c>
      <c r="L48" s="399">
        <v>0</v>
      </c>
      <c r="M48" s="399">
        <v>0</v>
      </c>
      <c r="N48" s="399">
        <v>0</v>
      </c>
      <c r="O48" s="399">
        <v>0</v>
      </c>
      <c r="P48" s="399">
        <v>0</v>
      </c>
      <c r="Q48" s="399">
        <v>0</v>
      </c>
      <c r="R48" s="399"/>
      <c r="S48" s="399"/>
      <c r="T48" s="399"/>
      <c r="U48" s="399"/>
      <c r="V48" s="399"/>
      <c r="W48" s="399"/>
      <c r="X48" s="399"/>
      <c r="Y48" s="399"/>
      <c r="Z48" s="399"/>
      <c r="AA48" s="399">
        <v>0</v>
      </c>
      <c r="AB48" s="399"/>
      <c r="AC48" s="399"/>
      <c r="AD48" s="399"/>
      <c r="AE48" s="399"/>
      <c r="AF48" s="399"/>
      <c r="AG48" s="399"/>
      <c r="AH48" s="399"/>
      <c r="AI48" s="399"/>
      <c r="AJ48" s="399"/>
      <c r="AK48" s="399"/>
      <c r="AL48" s="399"/>
      <c r="AM48" s="399"/>
      <c r="AN48" s="399"/>
      <c r="AO48" s="399"/>
      <c r="AP48" s="399"/>
      <c r="AQ48" s="399"/>
      <c r="AR48" s="399"/>
      <c r="AS48" s="399"/>
      <c r="AT48" s="399"/>
      <c r="AU48" s="399"/>
      <c r="AV48" s="399"/>
      <c r="AW48" s="399"/>
      <c r="AX48" s="399"/>
      <c r="AY48" s="399"/>
      <c r="AZ48" s="399">
        <v>0</v>
      </c>
      <c r="BA48" s="399"/>
      <c r="BB48" s="399"/>
      <c r="BC48" s="399"/>
      <c r="BD48" s="399"/>
      <c r="BE48" s="399"/>
      <c r="BF48" s="399"/>
      <c r="BG48" s="399"/>
      <c r="BH48" s="399"/>
      <c r="BI48" s="399">
        <v>0.42</v>
      </c>
      <c r="BJ48" s="399">
        <v>2.02</v>
      </c>
      <c r="BK48" s="399">
        <v>122.03</v>
      </c>
      <c r="BL48" s="399">
        <v>2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/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/>
      <c r="CJ48" s="399">
        <v>-0.03</v>
      </c>
      <c r="CK48" s="399"/>
      <c r="CL48" s="399"/>
      <c r="CM48" s="399"/>
      <c r="CN48" s="399"/>
      <c r="CO48" s="399">
        <v>0</v>
      </c>
      <c r="CP48" s="399">
        <v>0</v>
      </c>
      <c r="CQ48" s="399">
        <v>30</v>
      </c>
      <c r="CR48" s="399"/>
      <c r="CS48" s="399"/>
      <c r="CT48" s="399"/>
      <c r="CU48" s="399"/>
      <c r="CV48" s="399"/>
      <c r="CW48" s="399"/>
      <c r="CX48" s="399"/>
      <c r="CY48" s="399"/>
      <c r="CZ48" s="399"/>
      <c r="DA48" s="399"/>
      <c r="DB48" s="399"/>
      <c r="DC48" s="399"/>
      <c r="DD48" s="399"/>
      <c r="DE48" s="399"/>
      <c r="DF48" s="399"/>
      <c r="DG48" s="399"/>
      <c r="DH48" s="399"/>
      <c r="DI48" s="399"/>
      <c r="DJ48" s="399"/>
      <c r="DK48" s="399">
        <v>0</v>
      </c>
      <c r="DL48" s="399"/>
      <c r="DM48" s="399"/>
      <c r="DN48" s="399"/>
      <c r="DO48" s="399"/>
      <c r="DP48" s="399"/>
      <c r="DQ48" s="399"/>
      <c r="DR48" s="399"/>
      <c r="DS48" s="399"/>
      <c r="DT48" s="399"/>
      <c r="DU48" s="399"/>
      <c r="DV48" s="399"/>
      <c r="DW48" s="399"/>
      <c r="DX48" s="399"/>
      <c r="DY48" s="399"/>
      <c r="DZ48" s="399"/>
      <c r="EA48" s="399"/>
      <c r="EB48" s="399"/>
      <c r="EC48" s="399"/>
      <c r="ED48" s="399"/>
      <c r="EE48" s="399"/>
      <c r="EF48" s="399"/>
      <c r="EG48" s="399"/>
      <c r="EH48" s="399"/>
      <c r="EI48" s="399"/>
      <c r="EJ48" s="399"/>
      <c r="EK48" s="399"/>
      <c r="EL48" s="399"/>
      <c r="EM48" s="399"/>
      <c r="EN48" s="399"/>
      <c r="EO48" s="399"/>
      <c r="EP48" s="399"/>
      <c r="EQ48" s="399"/>
      <c r="ER48" s="399"/>
      <c r="ES48" s="399"/>
      <c r="ET48" s="399"/>
      <c r="EU48" s="399"/>
      <c r="EV48" s="399">
        <v>218</v>
      </c>
      <c r="EW48" s="399"/>
      <c r="EX48" s="399"/>
      <c r="EY48" s="399"/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956</v>
      </c>
      <c r="C49" s="399" t="s">
        <v>2328</v>
      </c>
      <c r="D49" s="399" t="s">
        <v>2335</v>
      </c>
      <c r="E49" s="399" t="s">
        <v>894</v>
      </c>
      <c r="F49" s="399" t="s">
        <v>2342</v>
      </c>
      <c r="G49" s="399" t="s">
        <v>2340</v>
      </c>
      <c r="H49" s="399" t="s">
        <v>1239</v>
      </c>
      <c r="I49" s="399" t="s">
        <v>1239</v>
      </c>
      <c r="J49" s="399" t="s">
        <v>2329</v>
      </c>
      <c r="K49" s="789">
        <v>44440</v>
      </c>
      <c r="L49" s="399">
        <v>0</v>
      </c>
      <c r="M49" s="399">
        <v>0</v>
      </c>
      <c r="N49" s="399">
        <v>7.766</v>
      </c>
      <c r="O49" s="399">
        <v>7.766</v>
      </c>
      <c r="P49" s="399">
        <v>7.766</v>
      </c>
      <c r="Q49" s="399">
        <v>7.766</v>
      </c>
      <c r="R49" s="399"/>
      <c r="S49" s="399">
        <v>521.86</v>
      </c>
      <c r="T49" s="399">
        <v>141.32</v>
      </c>
      <c r="U49" s="399"/>
      <c r="V49" s="399">
        <v>5150.2558799999997</v>
      </c>
      <c r="W49" s="399">
        <v>5150.2558799999997</v>
      </c>
      <c r="X49" s="399">
        <v>4025.3507799999998</v>
      </c>
      <c r="Y49" s="399">
        <v>0</v>
      </c>
      <c r="Z49" s="399">
        <v>471.21791200470659</v>
      </c>
      <c r="AA49" s="399">
        <v>0</v>
      </c>
      <c r="AB49" s="399">
        <v>0</v>
      </c>
      <c r="AC49" s="399">
        <v>0</v>
      </c>
      <c r="AD49" s="399">
        <v>835.26282806579059</v>
      </c>
      <c r="AE49" s="399">
        <v>2523.5678728675389</v>
      </c>
      <c r="AF49" s="399">
        <v>1097.4828106284033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72.860552582118729</v>
      </c>
      <c r="AM49" s="399"/>
      <c r="AN49" s="399">
        <v>10.770406663872674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139.04943795340037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>
        <v>483.04520000000002</v>
      </c>
      <c r="BS49" s="399"/>
      <c r="BT49" s="399"/>
      <c r="BU49" s="399"/>
      <c r="BV49" s="399">
        <v>1236.5322485818037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3544.1300999999999</v>
      </c>
      <c r="CJ49" s="399">
        <v>-988.05984000000126</v>
      </c>
      <c r="CK49" s="399"/>
      <c r="CL49" s="399"/>
      <c r="CM49" s="399"/>
      <c r="CN49" s="399"/>
      <c r="CO49" s="399">
        <v>-1124.9051000000002</v>
      </c>
      <c r="CP49" s="399">
        <v>0</v>
      </c>
      <c r="CQ49" s="399">
        <v>30</v>
      </c>
      <c r="CR49" s="399">
        <v>-34.603256332020919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-3.9781089037111315</v>
      </c>
      <c r="DA49" s="399">
        <v>0</v>
      </c>
      <c r="DB49" s="399">
        <v>0</v>
      </c>
      <c r="DC49" s="399">
        <v>0</v>
      </c>
      <c r="DD49" s="399">
        <v>0</v>
      </c>
      <c r="DE49" s="399">
        <v>0</v>
      </c>
      <c r="DF49" s="399">
        <v>0</v>
      </c>
      <c r="DG49" s="399">
        <v>0</v>
      </c>
      <c r="DH49" s="399">
        <v>0</v>
      </c>
      <c r="DI49" s="399">
        <v>-26.550142450418662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-3.6407108402244148</v>
      </c>
      <c r="DP49" s="399">
        <v>-0.43429413766746627</v>
      </c>
      <c r="DQ49" s="399">
        <v>0</v>
      </c>
      <c r="DR49" s="399">
        <v>0</v>
      </c>
      <c r="DS49" s="399"/>
      <c r="DT49" s="399"/>
      <c r="DU49" s="399"/>
      <c r="DV49" s="399">
        <v>2523.5678728675389</v>
      </c>
      <c r="DW49" s="399">
        <v>0</v>
      </c>
      <c r="DX49" s="399">
        <v>0</v>
      </c>
      <c r="DY49" s="399">
        <v>-1124.9050999999999</v>
      </c>
      <c r="DZ49" s="399">
        <v>0</v>
      </c>
      <c r="EA49" s="399">
        <v>0</v>
      </c>
      <c r="EB49" s="399">
        <v>0</v>
      </c>
      <c r="EC49" s="399">
        <v>-1090.2302382268372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218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2361</v>
      </c>
      <c r="C50" s="399" t="s">
        <v>2328</v>
      </c>
      <c r="D50" s="399" t="s">
        <v>2335</v>
      </c>
      <c r="E50" s="399" t="s">
        <v>894</v>
      </c>
      <c r="F50" s="399" t="s">
        <v>2342</v>
      </c>
      <c r="G50" s="399" t="s">
        <v>2340</v>
      </c>
      <c r="H50" s="399" t="s">
        <v>1239</v>
      </c>
      <c r="I50" s="399" t="s">
        <v>1239</v>
      </c>
      <c r="J50" s="399" t="s">
        <v>2329</v>
      </c>
      <c r="K50" s="789">
        <v>44440</v>
      </c>
      <c r="L50" s="399">
        <v>0</v>
      </c>
      <c r="M50" s="399">
        <v>0</v>
      </c>
      <c r="N50" s="399">
        <v>0.05</v>
      </c>
      <c r="O50" s="399">
        <v>0.05</v>
      </c>
      <c r="P50" s="399">
        <v>0.05</v>
      </c>
      <c r="Q50" s="399">
        <v>0.05</v>
      </c>
      <c r="R50" s="399"/>
      <c r="S50" s="399">
        <v>521.86</v>
      </c>
      <c r="T50" s="399">
        <v>141.32</v>
      </c>
      <c r="U50" s="399"/>
      <c r="V50" s="399">
        <v>33.159000000000006</v>
      </c>
      <c r="W50" s="399">
        <v>33.159000000000006</v>
      </c>
      <c r="X50" s="399">
        <v>25.916499999999999</v>
      </c>
      <c r="Y50" s="399">
        <v>0</v>
      </c>
      <c r="Z50" s="399">
        <v>3.0338521246761951</v>
      </c>
      <c r="AA50" s="399">
        <v>0</v>
      </c>
      <c r="AB50" s="399">
        <v>0</v>
      </c>
      <c r="AC50" s="399">
        <v>0</v>
      </c>
      <c r="AD50" s="399">
        <v>5.3776901111626998</v>
      </c>
      <c r="AE50" s="399">
        <v>16.247539742902003</v>
      </c>
      <c r="AF50" s="399">
        <v>7.065946501599301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0.46909961744861406</v>
      </c>
      <c r="AM50" s="399"/>
      <c r="AN50" s="399">
        <v>6.9343334173787505E-2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0.89524490054983508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>
        <v>3.1100000000000003</v>
      </c>
      <c r="BS50" s="399"/>
      <c r="BT50" s="399"/>
      <c r="BU50" s="399"/>
      <c r="BV50" s="399">
        <v>7.9611914021491366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22.8065</v>
      </c>
      <c r="CJ50" s="399">
        <v>-6.4030000000000058</v>
      </c>
      <c r="CK50" s="399"/>
      <c r="CL50" s="399"/>
      <c r="CM50" s="399"/>
      <c r="CN50" s="399"/>
      <c r="CO50" s="399">
        <v>-7.2425000000000015</v>
      </c>
      <c r="CP50" s="399">
        <v>0</v>
      </c>
      <c r="CQ50" s="399">
        <v>30</v>
      </c>
      <c r="CR50" s="399">
        <v>-0.2227868679630518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-2.5612341641199521E-2</v>
      </c>
      <c r="DA50" s="399">
        <v>0</v>
      </c>
      <c r="DB50" s="399">
        <v>0</v>
      </c>
      <c r="DC50" s="399">
        <v>0</v>
      </c>
      <c r="DD50" s="399">
        <v>0</v>
      </c>
      <c r="DE50" s="399">
        <v>0</v>
      </c>
      <c r="DF50" s="399">
        <v>0</v>
      </c>
      <c r="DG50" s="399">
        <v>0</v>
      </c>
      <c r="DH50" s="399">
        <v>0</v>
      </c>
      <c r="DI50" s="399">
        <v>-0.17093833666249481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-2.3440064642186509E-2</v>
      </c>
      <c r="DP50" s="399">
        <v>-2.7961250171740087E-3</v>
      </c>
      <c r="DQ50" s="399">
        <v>0</v>
      </c>
      <c r="DR50" s="399">
        <v>0</v>
      </c>
      <c r="DS50" s="399"/>
      <c r="DT50" s="399"/>
      <c r="DU50" s="399"/>
      <c r="DV50" s="399">
        <v>16.247539742902003</v>
      </c>
      <c r="DW50" s="399">
        <v>0</v>
      </c>
      <c r="DX50" s="399">
        <v>0</v>
      </c>
      <c r="DY50" s="399">
        <v>-7.2425000000000033</v>
      </c>
      <c r="DZ50" s="399">
        <v>0</v>
      </c>
      <c r="EA50" s="399">
        <v>0</v>
      </c>
      <c r="EB50" s="399">
        <v>0</v>
      </c>
      <c r="EC50" s="399">
        <v>-7.0192521132297028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218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2328</v>
      </c>
      <c r="D51" s="399" t="s">
        <v>2335</v>
      </c>
      <c r="E51" s="399" t="s">
        <v>894</v>
      </c>
      <c r="F51" s="399" t="s">
        <v>2342</v>
      </c>
      <c r="G51" s="399" t="s">
        <v>2341</v>
      </c>
      <c r="H51" s="399" t="s">
        <v>1239</v>
      </c>
      <c r="I51" s="399" t="s">
        <v>1239</v>
      </c>
      <c r="J51" s="399" t="s">
        <v>2329</v>
      </c>
      <c r="K51" s="789">
        <v>44440</v>
      </c>
      <c r="L51" s="399">
        <v>0</v>
      </c>
      <c r="M51" s="399">
        <v>0</v>
      </c>
      <c r="N51" s="399">
        <v>10.45</v>
      </c>
      <c r="O51" s="399">
        <v>4.18</v>
      </c>
      <c r="P51" s="399">
        <v>10.45</v>
      </c>
      <c r="Q51" s="399">
        <v>4.18</v>
      </c>
      <c r="R51" s="399"/>
      <c r="S51" s="399">
        <v>521.86</v>
      </c>
      <c r="T51" s="399">
        <v>141.32</v>
      </c>
      <c r="U51" s="399"/>
      <c r="V51" s="399">
        <v>6930.2309999999998</v>
      </c>
      <c r="W51" s="399">
        <v>6930.2309999999998</v>
      </c>
      <c r="X51" s="399">
        <v>5416.548499999999</v>
      </c>
      <c r="Y51" s="399">
        <v>0</v>
      </c>
      <c r="Z51" s="399">
        <v>634.07509405732469</v>
      </c>
      <c r="AA51" s="399">
        <v>0</v>
      </c>
      <c r="AB51" s="399">
        <v>0</v>
      </c>
      <c r="AC51" s="399">
        <v>0</v>
      </c>
      <c r="AD51" s="399">
        <v>1123.9372332330042</v>
      </c>
      <c r="AE51" s="399">
        <v>3395.735806266518</v>
      </c>
      <c r="AF51" s="399">
        <v>1476.7828188342537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98.041820046760321</v>
      </c>
      <c r="AM51" s="399"/>
      <c r="AN51" s="399">
        <v>14.492756842321585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187.10618421491549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>
        <v>3509.9250999999995</v>
      </c>
      <c r="BT51" s="399"/>
      <c r="BU51" s="399"/>
      <c r="BV51" s="399">
        <v>1663.8890030491691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1906.6233999999999</v>
      </c>
      <c r="CJ51" s="399">
        <v>-532.81280000000015</v>
      </c>
      <c r="CK51" s="399"/>
      <c r="CL51" s="399"/>
      <c r="CM51" s="399"/>
      <c r="CN51" s="399"/>
      <c r="CO51" s="399">
        <v>-1513.6825000000001</v>
      </c>
      <c r="CP51" s="399">
        <v>0</v>
      </c>
      <c r="CQ51" s="399">
        <v>30</v>
      </c>
      <c r="CR51" s="399">
        <v>-46.562455404279262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-5.3529794030107496</v>
      </c>
      <c r="DA51" s="399">
        <v>0</v>
      </c>
      <c r="DB51" s="399">
        <v>0</v>
      </c>
      <c r="DC51" s="399">
        <v>0</v>
      </c>
      <c r="DD51" s="399">
        <v>0</v>
      </c>
      <c r="DE51" s="399">
        <v>0</v>
      </c>
      <c r="DF51" s="399">
        <v>0</v>
      </c>
      <c r="DG51" s="399">
        <v>0</v>
      </c>
      <c r="DH51" s="399">
        <v>0</v>
      </c>
      <c r="DI51" s="399">
        <v>-35.726112362461436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-4.898973510216976</v>
      </c>
      <c r="DP51" s="399">
        <v>-0.58439012858936579</v>
      </c>
      <c r="DQ51" s="399">
        <v>0</v>
      </c>
      <c r="DR51" s="399">
        <v>0</v>
      </c>
      <c r="DS51" s="399"/>
      <c r="DT51" s="399"/>
      <c r="DU51" s="399"/>
      <c r="DV51" s="399">
        <v>3395.735806266518</v>
      </c>
      <c r="DW51" s="399">
        <v>0</v>
      </c>
      <c r="DX51" s="399">
        <v>0</v>
      </c>
      <c r="DY51" s="399">
        <v>-1513.6825000000003</v>
      </c>
      <c r="DZ51" s="399">
        <v>0</v>
      </c>
      <c r="EA51" s="399">
        <v>0</v>
      </c>
      <c r="EB51" s="399">
        <v>0</v>
      </c>
      <c r="EC51" s="399">
        <v>-1467.0236916650074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218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2361</v>
      </c>
      <c r="C52" s="399" t="s">
        <v>2328</v>
      </c>
      <c r="D52" s="399" t="s">
        <v>2335</v>
      </c>
      <c r="E52" s="399" t="s">
        <v>894</v>
      </c>
      <c r="F52" s="399" t="s">
        <v>2342</v>
      </c>
      <c r="G52" s="399" t="s">
        <v>2341</v>
      </c>
      <c r="H52" s="399" t="s">
        <v>1239</v>
      </c>
      <c r="I52" s="399" t="s">
        <v>1239</v>
      </c>
      <c r="J52" s="399" t="s">
        <v>2329</v>
      </c>
      <c r="K52" s="789">
        <v>44440</v>
      </c>
      <c r="L52" s="399">
        <v>0</v>
      </c>
      <c r="M52" s="399">
        <v>0</v>
      </c>
      <c r="N52" s="399">
        <v>0.05</v>
      </c>
      <c r="O52" s="399">
        <v>0.02</v>
      </c>
      <c r="P52" s="399">
        <v>0.05</v>
      </c>
      <c r="Q52" s="399">
        <v>0.02</v>
      </c>
      <c r="R52" s="399"/>
      <c r="S52" s="399">
        <v>521.86</v>
      </c>
      <c r="T52" s="399">
        <v>141.32</v>
      </c>
      <c r="U52" s="399"/>
      <c r="V52" s="399">
        <v>33.159000000000006</v>
      </c>
      <c r="W52" s="399">
        <v>33.159000000000006</v>
      </c>
      <c r="X52" s="399">
        <v>25.916499999999999</v>
      </c>
      <c r="Y52" s="399">
        <v>0</v>
      </c>
      <c r="Z52" s="399">
        <v>3.0338521246761951</v>
      </c>
      <c r="AA52" s="399">
        <v>0</v>
      </c>
      <c r="AB52" s="399">
        <v>0</v>
      </c>
      <c r="AC52" s="399">
        <v>0</v>
      </c>
      <c r="AD52" s="399">
        <v>5.3776901111626998</v>
      </c>
      <c r="AE52" s="399">
        <v>16.247539742902003</v>
      </c>
      <c r="AF52" s="399">
        <v>7.065946501599301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0.46909961744861406</v>
      </c>
      <c r="AM52" s="399"/>
      <c r="AN52" s="399">
        <v>6.9343334173787505E-2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0.89524490054983508</v>
      </c>
      <c r="BH52" s="399">
        <v>0</v>
      </c>
      <c r="BI52" s="399">
        <v>0</v>
      </c>
      <c r="BJ52" s="399">
        <v>0</v>
      </c>
      <c r="BK52" s="399">
        <v>0</v>
      </c>
      <c r="BL52" s="399">
        <v>0</v>
      </c>
      <c r="BM52" s="399"/>
      <c r="BN52" s="399"/>
      <c r="BO52" s="399"/>
      <c r="BP52" s="399"/>
      <c r="BQ52" s="399"/>
      <c r="BR52" s="399"/>
      <c r="BS52" s="399">
        <v>16.793900000000001</v>
      </c>
      <c r="BT52" s="399"/>
      <c r="BU52" s="399"/>
      <c r="BV52" s="399">
        <v>7.9611914021491366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9.1226000000000003</v>
      </c>
      <c r="CJ52" s="399">
        <v>-2.5792000000000002</v>
      </c>
      <c r="CK52" s="399"/>
      <c r="CL52" s="399"/>
      <c r="CM52" s="399"/>
      <c r="CN52" s="399"/>
      <c r="CO52" s="399">
        <v>-7.2425000000000015</v>
      </c>
      <c r="CP52" s="399">
        <v>0</v>
      </c>
      <c r="CQ52" s="399">
        <v>30</v>
      </c>
      <c r="CR52" s="399">
        <v>-0.2227868679630518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-2.5612341641199521E-2</v>
      </c>
      <c r="DA52" s="399">
        <v>0</v>
      </c>
      <c r="DB52" s="399">
        <v>0</v>
      </c>
      <c r="DC52" s="399">
        <v>0</v>
      </c>
      <c r="DD52" s="399">
        <v>0</v>
      </c>
      <c r="DE52" s="399">
        <v>0</v>
      </c>
      <c r="DF52" s="399">
        <v>0</v>
      </c>
      <c r="DG52" s="399">
        <v>0</v>
      </c>
      <c r="DH52" s="399">
        <v>0</v>
      </c>
      <c r="DI52" s="399">
        <v>-0.17093833666249481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-2.3440064642186509E-2</v>
      </c>
      <c r="DP52" s="399">
        <v>-2.7961250171740087E-3</v>
      </c>
      <c r="DQ52" s="399">
        <v>0</v>
      </c>
      <c r="DR52" s="399">
        <v>0</v>
      </c>
      <c r="DS52" s="399"/>
      <c r="DT52" s="399"/>
      <c r="DU52" s="399"/>
      <c r="DV52" s="399">
        <v>16.247539742902003</v>
      </c>
      <c r="DW52" s="399">
        <v>0</v>
      </c>
      <c r="DX52" s="399">
        <v>0</v>
      </c>
      <c r="DY52" s="399">
        <v>-7.2425000000000033</v>
      </c>
      <c r="DZ52" s="399">
        <v>0</v>
      </c>
      <c r="EA52" s="399">
        <v>0</v>
      </c>
      <c r="EB52" s="399">
        <v>0</v>
      </c>
      <c r="EC52" s="399">
        <v>-7.0192521132297028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218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2328</v>
      </c>
      <c r="D53" s="399" t="s">
        <v>1823</v>
      </c>
      <c r="E53" s="399" t="s">
        <v>889</v>
      </c>
      <c r="F53" s="399" t="s">
        <v>889</v>
      </c>
      <c r="G53" s="399" t="s">
        <v>1239</v>
      </c>
      <c r="H53" s="399" t="s">
        <v>1239</v>
      </c>
      <c r="I53" s="399" t="s">
        <v>1239</v>
      </c>
      <c r="J53" s="399" t="s">
        <v>2329</v>
      </c>
      <c r="K53" s="789">
        <v>44470</v>
      </c>
      <c r="L53" s="399">
        <v>0</v>
      </c>
      <c r="M53" s="399">
        <v>0</v>
      </c>
      <c r="N53" s="399">
        <v>783.37</v>
      </c>
      <c r="O53" s="399">
        <v>783.37</v>
      </c>
      <c r="P53" s="399">
        <v>783.37</v>
      </c>
      <c r="Q53" s="399">
        <v>783.37</v>
      </c>
      <c r="R53" s="399"/>
      <c r="S53" s="399">
        <v>521.86</v>
      </c>
      <c r="T53" s="399">
        <v>141.32</v>
      </c>
      <c r="U53" s="399"/>
      <c r="V53" s="399">
        <v>519515.31660000002</v>
      </c>
      <c r="W53" s="399">
        <v>519515.31660000002</v>
      </c>
      <c r="X53" s="399">
        <v>406044.17209999997</v>
      </c>
      <c r="Y53" s="399">
        <v>0</v>
      </c>
      <c r="Z53" s="399">
        <v>47532.574778151815</v>
      </c>
      <c r="AA53" s="399">
        <v>0</v>
      </c>
      <c r="AB53" s="399">
        <v>0</v>
      </c>
      <c r="AC53" s="399">
        <v>0</v>
      </c>
      <c r="AD53" s="399">
        <v>84254.422047630476</v>
      </c>
      <c r="AE53" s="399">
        <v>254556.70416794281</v>
      </c>
      <c r="AF53" s="399">
        <v>110705.01021915689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7349.5713464144155</v>
      </c>
      <c r="AM53" s="399"/>
      <c r="AN53" s="399">
        <v>1086.4297538343983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14026.159954874485</v>
      </c>
      <c r="BH53" s="399">
        <v>0</v>
      </c>
      <c r="BI53" s="399">
        <v>3452.29</v>
      </c>
      <c r="BJ53" s="399">
        <v>16018.66</v>
      </c>
      <c r="BK53" s="399">
        <v>110313.7</v>
      </c>
      <c r="BL53" s="399">
        <v>4027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124731.17017403137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406044.17209999997</v>
      </c>
      <c r="CJ53" s="399">
        <v>-113471.17450000008</v>
      </c>
      <c r="CK53" s="399"/>
      <c r="CL53" s="399"/>
      <c r="CM53" s="399"/>
      <c r="CN53" s="399"/>
      <c r="CO53" s="399">
        <v>-113471.14450000002</v>
      </c>
      <c r="CP53" s="399">
        <v>0</v>
      </c>
      <c r="CQ53" s="399">
        <v>31</v>
      </c>
      <c r="CR53" s="399">
        <v>-3490.4909751243249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-401.27880142931826</v>
      </c>
      <c r="DA53" s="399">
        <v>0</v>
      </c>
      <c r="DB53" s="399">
        <v>0</v>
      </c>
      <c r="DC53" s="399">
        <v>0</v>
      </c>
      <c r="DD53" s="399">
        <v>0</v>
      </c>
      <c r="DE53" s="399">
        <v>0</v>
      </c>
      <c r="DF53" s="399">
        <v>0</v>
      </c>
      <c r="DG53" s="399">
        <v>0</v>
      </c>
      <c r="DH53" s="399">
        <v>0</v>
      </c>
      <c r="DI53" s="399">
        <v>-2678.1592958259716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-367.24486877499294</v>
      </c>
      <c r="DP53" s="399">
        <v>-43.808009094072077</v>
      </c>
      <c r="DQ53" s="399">
        <v>0</v>
      </c>
      <c r="DR53" s="399">
        <v>0</v>
      </c>
      <c r="DS53" s="399"/>
      <c r="DT53" s="399"/>
      <c r="DU53" s="399"/>
      <c r="DV53" s="399">
        <v>254556.70416794281</v>
      </c>
      <c r="DW53" s="399">
        <v>0</v>
      </c>
      <c r="DX53" s="399">
        <v>0</v>
      </c>
      <c r="DY53" s="399">
        <v>-113471.14449999999</v>
      </c>
      <c r="DZ53" s="399">
        <v>0</v>
      </c>
      <c r="EA53" s="399">
        <v>0</v>
      </c>
      <c r="EB53" s="399">
        <v>0</v>
      </c>
      <c r="EC53" s="399">
        <v>-109973.43055881502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218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2360</v>
      </c>
      <c r="C54" s="399" t="s">
        <v>2328</v>
      </c>
      <c r="D54" s="399" t="s">
        <v>1823</v>
      </c>
      <c r="E54" s="399" t="s">
        <v>889</v>
      </c>
      <c r="F54" s="399" t="s">
        <v>889</v>
      </c>
      <c r="G54" s="399" t="s">
        <v>1239</v>
      </c>
      <c r="H54" s="399" t="s">
        <v>1239</v>
      </c>
      <c r="I54" s="399" t="s">
        <v>1239</v>
      </c>
      <c r="J54" s="399" t="s">
        <v>2329</v>
      </c>
      <c r="K54" s="789">
        <v>44470</v>
      </c>
      <c r="L54" s="399">
        <v>0</v>
      </c>
      <c r="M54" s="399">
        <v>0</v>
      </c>
      <c r="N54" s="399">
        <v>-0.27800000000000002</v>
      </c>
      <c r="O54" s="399">
        <v>-0.27800000000000002</v>
      </c>
      <c r="P54" s="399">
        <v>-0.27800000000000002</v>
      </c>
      <c r="Q54" s="399">
        <v>-0.27800000000000002</v>
      </c>
      <c r="R54" s="399"/>
      <c r="S54" s="399">
        <v>521.86</v>
      </c>
      <c r="T54" s="399">
        <v>141.32</v>
      </c>
      <c r="U54" s="399"/>
      <c r="V54" s="399">
        <v>-184.36404000000002</v>
      </c>
      <c r="W54" s="399">
        <v>-184.36404000000002</v>
      </c>
      <c r="X54" s="399">
        <v>-144.09574000000001</v>
      </c>
      <c r="Y54" s="399">
        <v>0</v>
      </c>
      <c r="Z54" s="399">
        <v>-16.868217813199646</v>
      </c>
      <c r="AA54" s="399">
        <v>0</v>
      </c>
      <c r="AB54" s="399">
        <v>0</v>
      </c>
      <c r="AC54" s="399">
        <v>0</v>
      </c>
      <c r="AD54" s="399">
        <v>-29.899957018064615</v>
      </c>
      <c r="AE54" s="399">
        <v>-90.336320970535127</v>
      </c>
      <c r="AF54" s="399">
        <v>-39.286662548892117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-2.6081938730142942</v>
      </c>
      <c r="AM54" s="399"/>
      <c r="AN54" s="399">
        <v>-0.3855489380062585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-4.9775616470570831</v>
      </c>
      <c r="BH54" s="399">
        <v>0</v>
      </c>
      <c r="BI54" s="399">
        <v>-1.19</v>
      </c>
      <c r="BJ54" s="399">
        <v>-5.46</v>
      </c>
      <c r="BK54" s="399">
        <v>-45.25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-44.264224195949197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-145.13240000000002</v>
      </c>
      <c r="CJ54" s="399">
        <v>39.201640000000026</v>
      </c>
      <c r="CK54" s="399"/>
      <c r="CL54" s="399"/>
      <c r="CM54" s="399"/>
      <c r="CN54" s="399"/>
      <c r="CO54" s="399">
        <v>40.268300000000011</v>
      </c>
      <c r="CP54" s="399">
        <v>0</v>
      </c>
      <c r="CQ54" s="399">
        <v>31</v>
      </c>
      <c r="CR54" s="399">
        <v>1.2386949858745737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0.14240461952507033</v>
      </c>
      <c r="DA54" s="399">
        <v>0</v>
      </c>
      <c r="DB54" s="399">
        <v>0</v>
      </c>
      <c r="DC54" s="399">
        <v>0</v>
      </c>
      <c r="DD54" s="399">
        <v>0</v>
      </c>
      <c r="DE54" s="399">
        <v>0</v>
      </c>
      <c r="DF54" s="399">
        <v>0</v>
      </c>
      <c r="DG54" s="399">
        <v>0</v>
      </c>
      <c r="DH54" s="399">
        <v>0</v>
      </c>
      <c r="DI54" s="399">
        <v>0.95041715184347098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0.13032675941055683</v>
      </c>
      <c r="DP54" s="399">
        <v>1.554645509548741E-2</v>
      </c>
      <c r="DQ54" s="399">
        <v>0</v>
      </c>
      <c r="DR54" s="399">
        <v>0</v>
      </c>
      <c r="DS54" s="399"/>
      <c r="DT54" s="399"/>
      <c r="DU54" s="399"/>
      <c r="DV54" s="399">
        <v>-90.336320970535127</v>
      </c>
      <c r="DW54" s="399">
        <v>0</v>
      </c>
      <c r="DX54" s="399">
        <v>0</v>
      </c>
      <c r="DY54" s="399">
        <v>40.268300000000011</v>
      </c>
      <c r="DZ54" s="399">
        <v>0</v>
      </c>
      <c r="EA54" s="399">
        <v>0</v>
      </c>
      <c r="EB54" s="399">
        <v>0</v>
      </c>
      <c r="EC54" s="399">
        <v>39.027041749557135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218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2361</v>
      </c>
      <c r="C55" s="399" t="s">
        <v>2328</v>
      </c>
      <c r="D55" s="399" t="s">
        <v>1823</v>
      </c>
      <c r="E55" s="399" t="s">
        <v>889</v>
      </c>
      <c r="F55" s="399" t="s">
        <v>889</v>
      </c>
      <c r="G55" s="399" t="s">
        <v>1239</v>
      </c>
      <c r="H55" s="399" t="s">
        <v>1239</v>
      </c>
      <c r="I55" s="399" t="s">
        <v>1239</v>
      </c>
      <c r="J55" s="399" t="s">
        <v>2329</v>
      </c>
      <c r="K55" s="789">
        <v>44470</v>
      </c>
      <c r="L55" s="399">
        <v>0</v>
      </c>
      <c r="M55" s="399">
        <v>0</v>
      </c>
      <c r="N55" s="399">
        <v>10.542</v>
      </c>
      <c r="O55" s="399">
        <v>10.542</v>
      </c>
      <c r="P55" s="399">
        <v>10.542</v>
      </c>
      <c r="Q55" s="399">
        <v>10.542</v>
      </c>
      <c r="R55" s="399"/>
      <c r="S55" s="399">
        <v>521.86</v>
      </c>
      <c r="T55" s="399">
        <v>141.32</v>
      </c>
      <c r="U55" s="399"/>
      <c r="V55" s="399">
        <v>6991.2435599999999</v>
      </c>
      <c r="W55" s="399">
        <v>6991.2435599999999</v>
      </c>
      <c r="X55" s="399">
        <v>5464.2348599999996</v>
      </c>
      <c r="Y55" s="399">
        <v>0</v>
      </c>
      <c r="Z55" s="399">
        <v>639.65738196672896</v>
      </c>
      <c r="AA55" s="399">
        <v>0</v>
      </c>
      <c r="AB55" s="399">
        <v>0</v>
      </c>
      <c r="AC55" s="399">
        <v>0</v>
      </c>
      <c r="AD55" s="399">
        <v>1133.8321830375437</v>
      </c>
      <c r="AE55" s="399">
        <v>3425.6312793934576</v>
      </c>
      <c r="AF55" s="399">
        <v>1489.7841603971965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98.904963342865784</v>
      </c>
      <c r="AM55" s="399"/>
      <c r="AN55" s="399">
        <v>14.620348577201355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188.75343483192719</v>
      </c>
      <c r="BH55" s="399">
        <v>0</v>
      </c>
      <c r="BI55" s="399">
        <v>46.53</v>
      </c>
      <c r="BJ55" s="399">
        <v>215.86</v>
      </c>
      <c r="BK55" s="399">
        <v>3993.55</v>
      </c>
      <c r="BL55" s="399">
        <v>84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1678.5375952291238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5463.1981999999989</v>
      </c>
      <c r="CJ55" s="399">
        <v>-1528.0753600000016</v>
      </c>
      <c r="CK55" s="399"/>
      <c r="CL55" s="399"/>
      <c r="CM55" s="399"/>
      <c r="CN55" s="399"/>
      <c r="CO55" s="399">
        <v>-1527.0087000000003</v>
      </c>
      <c r="CP55" s="399">
        <v>0</v>
      </c>
      <c r="CQ55" s="399">
        <v>31</v>
      </c>
      <c r="CR55" s="399">
        <v>-46.97238324133059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-5.4001061116305209</v>
      </c>
      <c r="DA55" s="399">
        <v>0</v>
      </c>
      <c r="DB55" s="399">
        <v>0</v>
      </c>
      <c r="DC55" s="399">
        <v>0</v>
      </c>
      <c r="DD55" s="399">
        <v>0</v>
      </c>
      <c r="DE55" s="399">
        <v>0</v>
      </c>
      <c r="DF55" s="399">
        <v>0</v>
      </c>
      <c r="DG55" s="399">
        <v>0</v>
      </c>
      <c r="DH55" s="399">
        <v>0</v>
      </c>
      <c r="DI55" s="399">
        <v>-36.040638901920488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-4.9421032291586044</v>
      </c>
      <c r="DP55" s="399">
        <v>-0.58953499862096592</v>
      </c>
      <c r="DQ55" s="399">
        <v>0</v>
      </c>
      <c r="DR55" s="399">
        <v>0</v>
      </c>
      <c r="DS55" s="399"/>
      <c r="DT55" s="399"/>
      <c r="DU55" s="399"/>
      <c r="DV55" s="399">
        <v>3425.6312793934576</v>
      </c>
      <c r="DW55" s="399">
        <v>0</v>
      </c>
      <c r="DX55" s="399">
        <v>0</v>
      </c>
      <c r="DY55" s="399">
        <v>-1527.0087000000003</v>
      </c>
      <c r="DZ55" s="399">
        <v>0</v>
      </c>
      <c r="EA55" s="399">
        <v>0</v>
      </c>
      <c r="EB55" s="399">
        <v>0</v>
      </c>
      <c r="EC55" s="399">
        <v>-1479.9391155533499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218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2361</v>
      </c>
      <c r="C56" s="399" t="s">
        <v>2328</v>
      </c>
      <c r="D56" s="399" t="s">
        <v>1823</v>
      </c>
      <c r="E56" s="399" t="s">
        <v>889</v>
      </c>
      <c r="F56" s="399" t="s">
        <v>889</v>
      </c>
      <c r="G56" s="399" t="s">
        <v>1239</v>
      </c>
      <c r="H56" s="399" t="s">
        <v>1239</v>
      </c>
      <c r="I56" s="399" t="s">
        <v>1239</v>
      </c>
      <c r="J56" s="399" t="s">
        <v>2329</v>
      </c>
      <c r="K56" s="789">
        <v>44470</v>
      </c>
      <c r="L56" s="399">
        <v>0</v>
      </c>
      <c r="M56" s="399">
        <v>0</v>
      </c>
      <c r="N56" s="399">
        <v>-0.30599999999999999</v>
      </c>
      <c r="O56" s="399">
        <v>-0.30599999999999999</v>
      </c>
      <c r="P56" s="399">
        <v>-0.30599999999999999</v>
      </c>
      <c r="Q56" s="399">
        <v>-0.30599999999999999</v>
      </c>
      <c r="R56" s="399"/>
      <c r="S56" s="399">
        <v>521.86</v>
      </c>
      <c r="T56" s="399">
        <v>141.32</v>
      </c>
      <c r="U56" s="399"/>
      <c r="V56" s="399">
        <v>-202.93308000000002</v>
      </c>
      <c r="W56" s="399">
        <v>-202.93308000000002</v>
      </c>
      <c r="X56" s="399">
        <v>-158.60898</v>
      </c>
      <c r="Y56" s="399">
        <v>0</v>
      </c>
      <c r="Z56" s="399">
        <v>-18.567175003018313</v>
      </c>
      <c r="AA56" s="399">
        <v>0</v>
      </c>
      <c r="AB56" s="399">
        <v>0</v>
      </c>
      <c r="AC56" s="399">
        <v>0</v>
      </c>
      <c r="AD56" s="399">
        <v>-32.911463480315724</v>
      </c>
      <c r="AE56" s="399">
        <v>-99.434943226560236</v>
      </c>
      <c r="AF56" s="399">
        <v>-43.243592589787717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-2.8708896587855177</v>
      </c>
      <c r="AM56" s="399"/>
      <c r="AN56" s="399">
        <v>-0.42438120514357947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-5.4788987913649896</v>
      </c>
      <c r="BH56" s="399">
        <v>0</v>
      </c>
      <c r="BI56" s="399">
        <v>-1.33</v>
      </c>
      <c r="BJ56" s="399">
        <v>-6.14</v>
      </c>
      <c r="BK56" s="399">
        <v>-65.53</v>
      </c>
      <c r="BL56" s="399">
        <v>2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-48.722491381152707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-160.6823</v>
      </c>
      <c r="CJ56" s="399">
        <v>42.220780000000047</v>
      </c>
      <c r="CK56" s="399"/>
      <c r="CL56" s="399"/>
      <c r="CM56" s="399"/>
      <c r="CN56" s="399"/>
      <c r="CO56" s="399">
        <v>44.324100000000008</v>
      </c>
      <c r="CP56" s="399">
        <v>0</v>
      </c>
      <c r="CQ56" s="399">
        <v>31</v>
      </c>
      <c r="CR56" s="399">
        <v>1.3634556319338884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0.15674753084414306</v>
      </c>
      <c r="DA56" s="399">
        <v>0</v>
      </c>
      <c r="DB56" s="399">
        <v>0</v>
      </c>
      <c r="DC56" s="399">
        <v>0</v>
      </c>
      <c r="DD56" s="399">
        <v>0</v>
      </c>
      <c r="DE56" s="399">
        <v>0</v>
      </c>
      <c r="DF56" s="399">
        <v>0</v>
      </c>
      <c r="DG56" s="399">
        <v>0</v>
      </c>
      <c r="DH56" s="399">
        <v>0</v>
      </c>
      <c r="DI56" s="399">
        <v>1.0461426203744679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0.14345319561018144</v>
      </c>
      <c r="DP56" s="399">
        <v>1.7112285105104874E-2</v>
      </c>
      <c r="DQ56" s="399">
        <v>0</v>
      </c>
      <c r="DR56" s="399">
        <v>0</v>
      </c>
      <c r="DS56" s="399"/>
      <c r="DT56" s="399"/>
      <c r="DU56" s="399"/>
      <c r="DV56" s="399">
        <v>-99.434943226560236</v>
      </c>
      <c r="DW56" s="399">
        <v>0</v>
      </c>
      <c r="DX56" s="399">
        <v>0</v>
      </c>
      <c r="DY56" s="399">
        <v>44.324100000000016</v>
      </c>
      <c r="DZ56" s="399">
        <v>0</v>
      </c>
      <c r="EA56" s="399">
        <v>0</v>
      </c>
      <c r="EB56" s="399">
        <v>0</v>
      </c>
      <c r="EC56" s="399">
        <v>42.957822932965762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218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2328</v>
      </c>
      <c r="D57" s="399" t="s">
        <v>1823</v>
      </c>
      <c r="E57" s="399" t="s">
        <v>889</v>
      </c>
      <c r="F57" s="399" t="s">
        <v>2330</v>
      </c>
      <c r="G57" s="399" t="s">
        <v>1239</v>
      </c>
      <c r="H57" s="399" t="s">
        <v>1239</v>
      </c>
      <c r="I57" s="399" t="s">
        <v>1239</v>
      </c>
      <c r="J57" s="399" t="s">
        <v>2329</v>
      </c>
      <c r="K57" s="789">
        <v>44470</v>
      </c>
      <c r="L57" s="399">
        <v>0</v>
      </c>
      <c r="M57" s="399">
        <v>0</v>
      </c>
      <c r="N57" s="399">
        <v>1.05</v>
      </c>
      <c r="O57" s="399">
        <v>1.05</v>
      </c>
      <c r="P57" s="399">
        <v>1.05</v>
      </c>
      <c r="Q57" s="399">
        <v>1.05</v>
      </c>
      <c r="R57" s="399"/>
      <c r="S57" s="399">
        <v>451.8</v>
      </c>
      <c r="T57" s="399">
        <v>141.32</v>
      </c>
      <c r="U57" s="399"/>
      <c r="V57" s="399">
        <v>622.77600000000007</v>
      </c>
      <c r="W57" s="399">
        <v>622.77600000000007</v>
      </c>
      <c r="X57" s="399">
        <v>474.76800000000003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112.9314923344167</v>
      </c>
      <c r="AE57" s="399">
        <v>341.19833460094202</v>
      </c>
      <c r="AF57" s="399">
        <v>148.38487653358533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1.4562100176495374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18.800142911546537</v>
      </c>
      <c r="BH57" s="399">
        <v>0</v>
      </c>
      <c r="BI57" s="399">
        <v>3.5</v>
      </c>
      <c r="BJ57" s="399">
        <v>16.8</v>
      </c>
      <c r="BK57" s="399">
        <v>25.2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>
        <v>308.59499999999997</v>
      </c>
      <c r="BU57" s="399"/>
      <c r="BV57" s="399">
        <v>167.18501944513187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166.173</v>
      </c>
      <c r="CJ57" s="399">
        <v>-51.826499999999953</v>
      </c>
      <c r="CK57" s="399"/>
      <c r="CL57" s="399"/>
      <c r="CM57" s="399"/>
      <c r="CN57" s="399"/>
      <c r="CO57" s="399">
        <v>-148.00800000000004</v>
      </c>
      <c r="CP57" s="399">
        <v>0</v>
      </c>
      <c r="CQ57" s="399">
        <v>31</v>
      </c>
      <c r="CR57" s="399">
        <v>-0.59657779982580905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-0.53785917446519704</v>
      </c>
      <c r="DA57" s="399">
        <v>0</v>
      </c>
      <c r="DB57" s="399">
        <v>0</v>
      </c>
      <c r="DC57" s="399">
        <v>0</v>
      </c>
      <c r="DD57" s="399">
        <v>0</v>
      </c>
      <c r="DE57" s="399">
        <v>0</v>
      </c>
      <c r="DF57" s="399">
        <v>0</v>
      </c>
      <c r="DG57" s="399">
        <v>0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-5.8718625360653975E-2</v>
      </c>
      <c r="DQ57" s="399">
        <v>0</v>
      </c>
      <c r="DR57" s="399">
        <v>0</v>
      </c>
      <c r="DS57" s="399"/>
      <c r="DT57" s="399"/>
      <c r="DU57" s="399"/>
      <c r="DV57" s="399">
        <v>341.19833460094202</v>
      </c>
      <c r="DW57" s="399">
        <v>0</v>
      </c>
      <c r="DX57" s="399">
        <v>0</v>
      </c>
      <c r="DY57" s="399">
        <v>-148.00800000000004</v>
      </c>
      <c r="DZ57" s="399">
        <v>0</v>
      </c>
      <c r="EA57" s="399">
        <v>0</v>
      </c>
      <c r="EB57" s="399">
        <v>0</v>
      </c>
      <c r="EC57" s="399">
        <v>-147.4042943778237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218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2328</v>
      </c>
      <c r="D58" s="399" t="s">
        <v>1823</v>
      </c>
      <c r="E58" s="399" t="s">
        <v>889</v>
      </c>
      <c r="F58" s="399" t="s">
        <v>2331</v>
      </c>
      <c r="G58" s="399" t="s">
        <v>1239</v>
      </c>
      <c r="H58" s="399" t="s">
        <v>1239</v>
      </c>
      <c r="I58" s="399" t="s">
        <v>1239</v>
      </c>
      <c r="J58" s="399" t="s">
        <v>2329</v>
      </c>
      <c r="K58" s="789">
        <v>44470</v>
      </c>
      <c r="L58" s="399">
        <v>0</v>
      </c>
      <c r="M58" s="399">
        <v>0</v>
      </c>
      <c r="N58" s="399">
        <v>2.2440000000000002</v>
      </c>
      <c r="O58" s="399">
        <v>2.2440000000000002</v>
      </c>
      <c r="P58" s="399">
        <v>2.2440000000000002</v>
      </c>
      <c r="Q58" s="399">
        <v>2.2440000000000002</v>
      </c>
      <c r="R58" s="399"/>
      <c r="S58" s="399">
        <v>451.8</v>
      </c>
      <c r="T58" s="399">
        <v>141.32</v>
      </c>
      <c r="U58" s="399"/>
      <c r="V58" s="399">
        <v>1330.9612800000002</v>
      </c>
      <c r="W58" s="399">
        <v>1330.9612800000002</v>
      </c>
      <c r="X58" s="399">
        <v>1014.6470400000001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241.35073218898199</v>
      </c>
      <c r="AE58" s="399">
        <v>729.18958366144182</v>
      </c>
      <c r="AF58" s="399">
        <v>317.11967899177665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3.1121288377195833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40.178591136676602</v>
      </c>
      <c r="BH58" s="399">
        <v>0</v>
      </c>
      <c r="BI58" s="399">
        <v>8.15</v>
      </c>
      <c r="BJ58" s="399">
        <v>37.950000000000003</v>
      </c>
      <c r="BK58" s="399">
        <v>93.6</v>
      </c>
      <c r="BL58" s="399">
        <v>9</v>
      </c>
      <c r="BM58" s="399"/>
      <c r="BN58" s="399"/>
      <c r="BO58" s="399"/>
      <c r="BP58" s="399"/>
      <c r="BQ58" s="399"/>
      <c r="BR58" s="399"/>
      <c r="BS58" s="399"/>
      <c r="BT58" s="399">
        <v>405.84983999999997</v>
      </c>
      <c r="BU58" s="399"/>
      <c r="BV58" s="399">
        <v>357.29827012845328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607.71199999999999</v>
      </c>
      <c r="CJ58" s="399">
        <v>-190.89028000000008</v>
      </c>
      <c r="CK58" s="399"/>
      <c r="CL58" s="399"/>
      <c r="CM58" s="399"/>
      <c r="CN58" s="399"/>
      <c r="CO58" s="399">
        <v>-316.3142400000001</v>
      </c>
      <c r="CP58" s="399">
        <v>0</v>
      </c>
      <c r="CQ58" s="399">
        <v>31</v>
      </c>
      <c r="CR58" s="399">
        <v>-1.2749719836277791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-1.1494818928570396</v>
      </c>
      <c r="DA58" s="399">
        <v>0</v>
      </c>
      <c r="DB58" s="399">
        <v>0</v>
      </c>
      <c r="DC58" s="399">
        <v>0</v>
      </c>
      <c r="DD58" s="399">
        <v>0</v>
      </c>
      <c r="DE58" s="399">
        <v>0</v>
      </c>
      <c r="DF58" s="399">
        <v>0</v>
      </c>
      <c r="DG58" s="399">
        <v>0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-0.12549009077076922</v>
      </c>
      <c r="DQ58" s="399">
        <v>0</v>
      </c>
      <c r="DR58" s="399">
        <v>0</v>
      </c>
      <c r="DS58" s="399"/>
      <c r="DT58" s="399"/>
      <c r="DU58" s="399"/>
      <c r="DV58" s="399">
        <v>729.18958366144182</v>
      </c>
      <c r="DW58" s="399">
        <v>0</v>
      </c>
      <c r="DX58" s="399">
        <v>0</v>
      </c>
      <c r="DY58" s="399">
        <v>-316.31424000000015</v>
      </c>
      <c r="DZ58" s="399">
        <v>0</v>
      </c>
      <c r="EA58" s="399">
        <v>0</v>
      </c>
      <c r="EB58" s="399">
        <v>0</v>
      </c>
      <c r="EC58" s="399">
        <v>-315.02403484174891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218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2328</v>
      </c>
      <c r="D59" s="399" t="s">
        <v>1823</v>
      </c>
      <c r="E59" s="399" t="s">
        <v>889</v>
      </c>
      <c r="F59" s="399" t="s">
        <v>2332</v>
      </c>
      <c r="G59" s="399" t="s">
        <v>1239</v>
      </c>
      <c r="H59" s="399" t="s">
        <v>1239</v>
      </c>
      <c r="I59" s="399" t="s">
        <v>1239</v>
      </c>
      <c r="J59" s="399" t="s">
        <v>2329</v>
      </c>
      <c r="K59" s="789">
        <v>44470</v>
      </c>
      <c r="L59" s="399">
        <v>0</v>
      </c>
      <c r="M59" s="399">
        <v>0</v>
      </c>
      <c r="N59" s="399">
        <v>2.202</v>
      </c>
      <c r="O59" s="399">
        <v>2.202</v>
      </c>
      <c r="P59" s="399">
        <v>2.202</v>
      </c>
      <c r="Q59" s="399">
        <v>2.202</v>
      </c>
      <c r="R59" s="399"/>
      <c r="S59" s="399">
        <v>451.8</v>
      </c>
      <c r="T59" s="399">
        <v>141.32</v>
      </c>
      <c r="U59" s="399"/>
      <c r="V59" s="399">
        <v>1306.05024</v>
      </c>
      <c r="W59" s="399">
        <v>1306.05024</v>
      </c>
      <c r="X59" s="399">
        <v>995.65631999999982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236.83347249560529</v>
      </c>
      <c r="AE59" s="399">
        <v>715.54165027740407</v>
      </c>
      <c r="AF59" s="399">
        <v>311.1842839304332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3.0538804370136012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39.426585420214735</v>
      </c>
      <c r="BH59" s="399">
        <v>0</v>
      </c>
      <c r="BI59" s="399">
        <v>9.5500000000000007</v>
      </c>
      <c r="BJ59" s="399">
        <v>44.22</v>
      </c>
      <c r="BK59" s="399">
        <v>252.07</v>
      </c>
      <c r="BL59" s="399">
        <v>18</v>
      </c>
      <c r="BM59" s="399"/>
      <c r="BN59" s="399"/>
      <c r="BO59" s="399"/>
      <c r="BP59" s="399"/>
      <c r="BQ59" s="399"/>
      <c r="BR59" s="399"/>
      <c r="BS59" s="399"/>
      <c r="BT59" s="399">
        <v>99.552419999999955</v>
      </c>
      <c r="BU59" s="399"/>
      <c r="BV59" s="399">
        <v>350.61086935064793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895.29</v>
      </c>
      <c r="CJ59" s="399">
        <v>-280.1896200000001</v>
      </c>
      <c r="CK59" s="399"/>
      <c r="CL59" s="399"/>
      <c r="CM59" s="399"/>
      <c r="CN59" s="399"/>
      <c r="CO59" s="399">
        <v>-310.39392000000009</v>
      </c>
      <c r="CP59" s="399">
        <v>0</v>
      </c>
      <c r="CQ59" s="399">
        <v>31</v>
      </c>
      <c r="CR59" s="399">
        <v>-1.2511088716348695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-1.1279675258784323</v>
      </c>
      <c r="DA59" s="399">
        <v>0</v>
      </c>
      <c r="DB59" s="399">
        <v>0</v>
      </c>
      <c r="DC59" s="399">
        <v>0</v>
      </c>
      <c r="DD59" s="399">
        <v>0</v>
      </c>
      <c r="DE59" s="399">
        <v>0</v>
      </c>
      <c r="DF59" s="399">
        <v>0</v>
      </c>
      <c r="DG59" s="399">
        <v>0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</v>
      </c>
      <c r="DP59" s="399">
        <v>-0.12314134575634306</v>
      </c>
      <c r="DQ59" s="399">
        <v>0</v>
      </c>
      <c r="DR59" s="399">
        <v>0</v>
      </c>
      <c r="DS59" s="399"/>
      <c r="DT59" s="399"/>
      <c r="DU59" s="399"/>
      <c r="DV59" s="399">
        <v>715.54165027740407</v>
      </c>
      <c r="DW59" s="399">
        <v>0</v>
      </c>
      <c r="DX59" s="399">
        <v>0</v>
      </c>
      <c r="DY59" s="399">
        <v>-310.39392000000009</v>
      </c>
      <c r="DZ59" s="399">
        <v>0</v>
      </c>
      <c r="EA59" s="399">
        <v>0</v>
      </c>
      <c r="EB59" s="399">
        <v>0</v>
      </c>
      <c r="EC59" s="399">
        <v>-309.127863066636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218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2328</v>
      </c>
      <c r="D60" s="399" t="s">
        <v>1823</v>
      </c>
      <c r="E60" s="399" t="s">
        <v>889</v>
      </c>
      <c r="F60" s="399" t="s">
        <v>2333</v>
      </c>
      <c r="G60" s="399" t="s">
        <v>1239</v>
      </c>
      <c r="H60" s="399" t="s">
        <v>1239</v>
      </c>
      <c r="I60" s="399" t="s">
        <v>1239</v>
      </c>
      <c r="J60" s="399" t="s">
        <v>2329</v>
      </c>
      <c r="K60" s="789">
        <v>44470</v>
      </c>
      <c r="L60" s="399">
        <v>0</v>
      </c>
      <c r="M60" s="399">
        <v>0</v>
      </c>
      <c r="N60" s="399">
        <v>0.60099999999999998</v>
      </c>
      <c r="O60" s="399">
        <v>0.60099999999999998</v>
      </c>
      <c r="P60" s="399">
        <v>0.60099999999999998</v>
      </c>
      <c r="Q60" s="399">
        <v>0.60099999999999998</v>
      </c>
      <c r="R60" s="399"/>
      <c r="S60" s="399">
        <v>451.8</v>
      </c>
      <c r="T60" s="399">
        <v>141.32</v>
      </c>
      <c r="U60" s="399"/>
      <c r="V60" s="399">
        <v>356.46511999999996</v>
      </c>
      <c r="W60" s="399">
        <v>356.46511999999996</v>
      </c>
      <c r="X60" s="399">
        <v>271.74815999999998</v>
      </c>
      <c r="Y60" s="399">
        <v>0</v>
      </c>
      <c r="Z60" s="399">
        <v>0</v>
      </c>
      <c r="AA60" s="399">
        <v>0</v>
      </c>
      <c r="AB60" s="399">
        <v>0</v>
      </c>
      <c r="AC60" s="399">
        <v>0</v>
      </c>
      <c r="AD60" s="399">
        <v>64.639835136175648</v>
      </c>
      <c r="AE60" s="399">
        <v>195.29542770968203</v>
      </c>
      <c r="AF60" s="399">
        <v>84.932676949223591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0</v>
      </c>
      <c r="AM60" s="399"/>
      <c r="AN60" s="399">
        <v>0.83350687676892565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10.760843704609016</v>
      </c>
      <c r="BH60" s="399">
        <v>0</v>
      </c>
      <c r="BI60" s="399">
        <v>3.66</v>
      </c>
      <c r="BJ60" s="399">
        <v>16.5</v>
      </c>
      <c r="BK60" s="399">
        <v>137.99</v>
      </c>
      <c r="BL60" s="399">
        <v>8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95.693520653832607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271.29599999999999</v>
      </c>
      <c r="CJ60" s="399">
        <v>-85.199119999999937</v>
      </c>
      <c r="CK60" s="399"/>
      <c r="CL60" s="399"/>
      <c r="CM60" s="399"/>
      <c r="CN60" s="399"/>
      <c r="CO60" s="399">
        <v>-84.716960000000014</v>
      </c>
      <c r="CP60" s="399">
        <v>0</v>
      </c>
      <c r="CQ60" s="399">
        <v>31</v>
      </c>
      <c r="CR60" s="399">
        <v>-0.34146976923366879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-0.30786034652722094</v>
      </c>
      <c r="DA60" s="399">
        <v>0</v>
      </c>
      <c r="DB60" s="399">
        <v>0</v>
      </c>
      <c r="DC60" s="399">
        <v>0</v>
      </c>
      <c r="DD60" s="399">
        <v>0</v>
      </c>
      <c r="DE60" s="399">
        <v>0</v>
      </c>
      <c r="DF60" s="399">
        <v>0</v>
      </c>
      <c r="DG60" s="399">
        <v>0</v>
      </c>
      <c r="DH60" s="399">
        <v>0</v>
      </c>
      <c r="DI60" s="399">
        <v>0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0</v>
      </c>
      <c r="DP60" s="399">
        <v>-3.3609422706431413E-2</v>
      </c>
      <c r="DQ60" s="399">
        <v>0</v>
      </c>
      <c r="DR60" s="399">
        <v>0</v>
      </c>
      <c r="DS60" s="399"/>
      <c r="DT60" s="399"/>
      <c r="DU60" s="399"/>
      <c r="DV60" s="399">
        <v>195.29542770968203</v>
      </c>
      <c r="DW60" s="399">
        <v>0</v>
      </c>
      <c r="DX60" s="399">
        <v>0</v>
      </c>
      <c r="DY60" s="399">
        <v>-84.71696</v>
      </c>
      <c r="DZ60" s="399">
        <v>0</v>
      </c>
      <c r="EA60" s="399">
        <v>0</v>
      </c>
      <c r="EB60" s="399">
        <v>0</v>
      </c>
      <c r="EC60" s="399">
        <v>-84.371410401020981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218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2328</v>
      </c>
      <c r="D61" s="399" t="s">
        <v>1826</v>
      </c>
      <c r="E61" s="399" t="s">
        <v>890</v>
      </c>
      <c r="F61" s="399" t="s">
        <v>1239</v>
      </c>
      <c r="G61" s="399" t="s">
        <v>1239</v>
      </c>
      <c r="H61" s="399" t="s">
        <v>1239</v>
      </c>
      <c r="I61" s="399" t="s">
        <v>1239</v>
      </c>
      <c r="J61" s="399" t="s">
        <v>2329</v>
      </c>
      <c r="K61" s="789">
        <v>44470</v>
      </c>
      <c r="L61" s="399">
        <v>0</v>
      </c>
      <c r="M61" s="399">
        <v>0</v>
      </c>
      <c r="N61" s="399">
        <v>155.042</v>
      </c>
      <c r="O61" s="399">
        <v>155.042</v>
      </c>
      <c r="P61" s="399">
        <v>155.042</v>
      </c>
      <c r="Q61" s="399">
        <v>155.042</v>
      </c>
      <c r="R61" s="399"/>
      <c r="S61" s="399">
        <v>521.86</v>
      </c>
      <c r="T61" s="399">
        <v>141.32</v>
      </c>
      <c r="U61" s="399"/>
      <c r="V61" s="399">
        <v>102820.75356000001</v>
      </c>
      <c r="W61" s="399">
        <v>102820.75356000001</v>
      </c>
      <c r="X61" s="399">
        <v>80362.919859999995</v>
      </c>
      <c r="Y61" s="399">
        <v>0</v>
      </c>
      <c r="Z61" s="399">
        <v>9407.490022280932</v>
      </c>
      <c r="AA61" s="399">
        <v>0</v>
      </c>
      <c r="AB61" s="399">
        <v>0</v>
      </c>
      <c r="AC61" s="399">
        <v>0</v>
      </c>
      <c r="AD61" s="399">
        <v>16675.356604297747</v>
      </c>
      <c r="AE61" s="399">
        <v>50381.021136380237</v>
      </c>
      <c r="AF61" s="399">
        <v>21910.369550019175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1454.6028577693603</v>
      </c>
      <c r="AM61" s="399"/>
      <c r="AN61" s="399">
        <v>215.02258433944723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2776.0111974209503</v>
      </c>
      <c r="BH61" s="399">
        <v>0</v>
      </c>
      <c r="BI61" s="399">
        <v>687.4</v>
      </c>
      <c r="BJ61" s="399">
        <v>3175.74</v>
      </c>
      <c r="BK61" s="399">
        <v>35208.93</v>
      </c>
      <c r="BL61" s="399">
        <v>144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24686.380747440126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80361.883199999997</v>
      </c>
      <c r="CJ61" s="399">
        <v>-22458.90036</v>
      </c>
      <c r="CK61" s="399"/>
      <c r="CL61" s="399"/>
      <c r="CM61" s="399"/>
      <c r="CN61" s="399"/>
      <c r="CO61" s="399">
        <v>-22457.833700000003</v>
      </c>
      <c r="CP61" s="399">
        <v>0</v>
      </c>
      <c r="CQ61" s="399">
        <v>31</v>
      </c>
      <c r="CR61" s="399">
        <v>-690.82643165455374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-79.419773454697861</v>
      </c>
      <c r="DA61" s="399">
        <v>0</v>
      </c>
      <c r="DB61" s="399">
        <v>0</v>
      </c>
      <c r="DC61" s="399">
        <v>0</v>
      </c>
      <c r="DD61" s="399">
        <v>0</v>
      </c>
      <c r="DE61" s="399">
        <v>0</v>
      </c>
      <c r="DF61" s="399">
        <v>0</v>
      </c>
      <c r="DG61" s="399">
        <v>0</v>
      </c>
      <c r="DH61" s="399">
        <v>0</v>
      </c>
      <c r="DI61" s="399">
        <v>-530.05243185652944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-72.683890045077533</v>
      </c>
      <c r="DP61" s="399">
        <v>-8.6703362982538295</v>
      </c>
      <c r="DQ61" s="399">
        <v>0</v>
      </c>
      <c r="DR61" s="399">
        <v>0</v>
      </c>
      <c r="DS61" s="399"/>
      <c r="DT61" s="399"/>
      <c r="DU61" s="399"/>
      <c r="DV61" s="399">
        <v>50381.021136380237</v>
      </c>
      <c r="DW61" s="399">
        <v>0</v>
      </c>
      <c r="DX61" s="399">
        <v>0</v>
      </c>
      <c r="DY61" s="399">
        <v>-22457.833700000003</v>
      </c>
      <c r="DZ61" s="399">
        <v>0</v>
      </c>
      <c r="EA61" s="399">
        <v>0</v>
      </c>
      <c r="EB61" s="399">
        <v>0</v>
      </c>
      <c r="EC61" s="399">
        <v>-21765.57772278718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218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2361</v>
      </c>
      <c r="C62" s="399" t="s">
        <v>2328</v>
      </c>
      <c r="D62" s="399" t="s">
        <v>1826</v>
      </c>
      <c r="E62" s="399" t="s">
        <v>890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2329</v>
      </c>
      <c r="K62" s="789">
        <v>44470</v>
      </c>
      <c r="L62" s="399">
        <v>0</v>
      </c>
      <c r="M62" s="399">
        <v>0</v>
      </c>
      <c r="N62" s="399">
        <v>5.1040000000000001</v>
      </c>
      <c r="O62" s="399">
        <v>5.1040000000000001</v>
      </c>
      <c r="P62" s="399">
        <v>5.1040000000000001</v>
      </c>
      <c r="Q62" s="399">
        <v>5.1040000000000001</v>
      </c>
      <c r="R62" s="399"/>
      <c r="S62" s="399">
        <v>521.86</v>
      </c>
      <c r="T62" s="399">
        <v>141.32</v>
      </c>
      <c r="U62" s="399"/>
      <c r="V62" s="399">
        <v>3384.8707199999999</v>
      </c>
      <c r="W62" s="399">
        <v>3384.8707199999999</v>
      </c>
      <c r="X62" s="399">
        <v>2645.5563199999997</v>
      </c>
      <c r="Y62" s="399">
        <v>0</v>
      </c>
      <c r="Z62" s="399">
        <v>309.69562488694601</v>
      </c>
      <c r="AA62" s="399">
        <v>0</v>
      </c>
      <c r="AB62" s="399">
        <v>0</v>
      </c>
      <c r="AC62" s="399">
        <v>0</v>
      </c>
      <c r="AD62" s="399">
        <v>548.95460654748842</v>
      </c>
      <c r="AE62" s="399">
        <v>1658.5488569554363</v>
      </c>
      <c r="AF62" s="399">
        <v>721.29181888325661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47.88568894915452</v>
      </c>
      <c r="AM62" s="399"/>
      <c r="AN62" s="399">
        <v>7.0785675524602274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91.386599448127157</v>
      </c>
      <c r="BH62" s="399">
        <v>0</v>
      </c>
      <c r="BI62" s="399">
        <v>22.66</v>
      </c>
      <c r="BJ62" s="399">
        <v>104.77</v>
      </c>
      <c r="BK62" s="399">
        <v>3682.93</v>
      </c>
      <c r="BL62" s="399">
        <v>10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812.6784183313838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2643.4829999999997</v>
      </c>
      <c r="CJ62" s="399">
        <v>-741.41772000000083</v>
      </c>
      <c r="CK62" s="399"/>
      <c r="CL62" s="399"/>
      <c r="CM62" s="399"/>
      <c r="CN62" s="399"/>
      <c r="CO62" s="399">
        <v>-739.31440000000009</v>
      </c>
      <c r="CP62" s="399">
        <v>0</v>
      </c>
      <c r="CQ62" s="399">
        <v>31</v>
      </c>
      <c r="CR62" s="399">
        <v>-22.742083481668487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-2.6145078347336721</v>
      </c>
      <c r="DA62" s="399">
        <v>0</v>
      </c>
      <c r="DB62" s="399">
        <v>0</v>
      </c>
      <c r="DC62" s="399">
        <v>0</v>
      </c>
      <c r="DD62" s="399">
        <v>0</v>
      </c>
      <c r="DE62" s="399">
        <v>0</v>
      </c>
      <c r="DF62" s="399">
        <v>0</v>
      </c>
      <c r="DG62" s="399">
        <v>0</v>
      </c>
      <c r="DH62" s="399">
        <v>0</v>
      </c>
      <c r="DI62" s="399">
        <v>-17.449385406507474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-2.3927617986743996</v>
      </c>
      <c r="DP62" s="399">
        <v>-0.28542844175312165</v>
      </c>
      <c r="DQ62" s="399">
        <v>0</v>
      </c>
      <c r="DR62" s="399">
        <v>0</v>
      </c>
      <c r="DS62" s="399"/>
      <c r="DT62" s="399"/>
      <c r="DU62" s="399"/>
      <c r="DV62" s="399">
        <v>1658.5488569554363</v>
      </c>
      <c r="DW62" s="399">
        <v>0</v>
      </c>
      <c r="DX62" s="399">
        <v>0</v>
      </c>
      <c r="DY62" s="399">
        <v>-739.31440000000021</v>
      </c>
      <c r="DZ62" s="399">
        <v>0</v>
      </c>
      <c r="EA62" s="399">
        <v>0</v>
      </c>
      <c r="EB62" s="399">
        <v>0</v>
      </c>
      <c r="EC62" s="399">
        <v>-716.52525571848787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218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2334</v>
      </c>
      <c r="D63" s="399" t="s">
        <v>533</v>
      </c>
      <c r="E63" s="399" t="s">
        <v>890</v>
      </c>
      <c r="F63" s="399" t="s">
        <v>1239</v>
      </c>
      <c r="G63" s="399" t="s">
        <v>1239</v>
      </c>
      <c r="H63" s="399" t="s">
        <v>1239</v>
      </c>
      <c r="I63" s="399" t="s">
        <v>893</v>
      </c>
      <c r="J63" s="399" t="s">
        <v>2329</v>
      </c>
      <c r="K63" s="789">
        <v>44470</v>
      </c>
      <c r="L63" s="399">
        <v>0</v>
      </c>
      <c r="M63" s="399">
        <v>0</v>
      </c>
      <c r="N63" s="399">
        <v>58.448999999999998</v>
      </c>
      <c r="O63" s="399">
        <v>58.448999999999998</v>
      </c>
      <c r="P63" s="399">
        <v>58.448999999999998</v>
      </c>
      <c r="Q63" s="399">
        <v>58.448999999999998</v>
      </c>
      <c r="R63" s="399"/>
      <c r="S63" s="399">
        <v>2741.05</v>
      </c>
      <c r="T63" s="399">
        <v>141.32</v>
      </c>
      <c r="U63" s="399"/>
      <c r="V63" s="399">
        <v>168471.64413000003</v>
      </c>
      <c r="W63" s="399">
        <v>168471.64413000003</v>
      </c>
      <c r="X63" s="399">
        <v>120631.72211999999</v>
      </c>
      <c r="Y63" s="399">
        <v>0</v>
      </c>
      <c r="Z63" s="399">
        <v>3085.4658373324614</v>
      </c>
      <c r="AA63" s="399">
        <v>0</v>
      </c>
      <c r="AB63" s="399">
        <v>0</v>
      </c>
      <c r="AC63" s="399">
        <v>0</v>
      </c>
      <c r="AD63" s="399">
        <v>46382.874893553286</v>
      </c>
      <c r="AE63" s="399">
        <v>109756.04283864751</v>
      </c>
      <c r="AF63" s="399">
        <v>8259.9501414395509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548.36807080508083</v>
      </c>
      <c r="AM63" s="399"/>
      <c r="AN63" s="399">
        <v>35.112793264310149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404.05550697458312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8664.0056484141332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120633.78599999999</v>
      </c>
      <c r="CJ63" s="399">
        <v>-47837.888130000065</v>
      </c>
      <c r="CK63" s="399"/>
      <c r="CL63" s="399"/>
      <c r="CM63" s="399"/>
      <c r="CN63" s="399"/>
      <c r="CO63" s="399">
        <v>-47839.922010000009</v>
      </c>
      <c r="CP63" s="399">
        <v>0</v>
      </c>
      <c r="CQ63" s="399">
        <v>31</v>
      </c>
      <c r="CR63" s="399">
        <v>-423.5711234136179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-220.90786443968682</v>
      </c>
      <c r="DA63" s="399">
        <v>0</v>
      </c>
      <c r="DB63" s="399">
        <v>0</v>
      </c>
      <c r="DC63" s="399">
        <v>0</v>
      </c>
      <c r="DD63" s="399">
        <v>0</v>
      </c>
      <c r="DE63" s="399">
        <v>0</v>
      </c>
      <c r="DF63" s="399">
        <v>0</v>
      </c>
      <c r="DG63" s="399">
        <v>0</v>
      </c>
      <c r="DH63" s="399">
        <v>0</v>
      </c>
      <c r="DI63" s="399">
        <v>-173.84644220880455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-27.400966765423277</v>
      </c>
      <c r="DP63" s="399">
        <v>-1.4158499997007681</v>
      </c>
      <c r="DQ63" s="399">
        <v>0</v>
      </c>
      <c r="DR63" s="399">
        <v>0</v>
      </c>
      <c r="DS63" s="399"/>
      <c r="DT63" s="399"/>
      <c r="DU63" s="399"/>
      <c r="DV63" s="399">
        <v>109756.04283864751</v>
      </c>
      <c r="DW63" s="399">
        <v>0</v>
      </c>
      <c r="DX63" s="399">
        <v>0</v>
      </c>
      <c r="DY63" s="399">
        <v>-47839.922010000024</v>
      </c>
      <c r="DZ63" s="399">
        <v>0</v>
      </c>
      <c r="EA63" s="399">
        <v>0</v>
      </c>
      <c r="EB63" s="399">
        <v>0</v>
      </c>
      <c r="EC63" s="399">
        <v>-47416.738030843917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218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2334</v>
      </c>
      <c r="D64" s="399" t="s">
        <v>533</v>
      </c>
      <c r="E64" s="399" t="s">
        <v>890</v>
      </c>
      <c r="F64" s="399" t="s">
        <v>1239</v>
      </c>
      <c r="G64" s="399" t="s">
        <v>1239</v>
      </c>
      <c r="H64" s="399" t="s">
        <v>1239</v>
      </c>
      <c r="I64" s="399" t="s">
        <v>2326</v>
      </c>
      <c r="J64" s="399" t="s">
        <v>2329</v>
      </c>
      <c r="K64" s="789">
        <v>44470</v>
      </c>
      <c r="L64" s="399">
        <v>0</v>
      </c>
      <c r="M64" s="399">
        <v>0</v>
      </c>
      <c r="N64" s="399">
        <v>2156.15</v>
      </c>
      <c r="O64" s="399">
        <v>2156.15</v>
      </c>
      <c r="P64" s="399">
        <v>2156.15</v>
      </c>
      <c r="Q64" s="399">
        <v>2156.15</v>
      </c>
      <c r="R64" s="399"/>
      <c r="S64" s="399">
        <v>69.680000000000007</v>
      </c>
      <c r="T64" s="399">
        <v>141.32</v>
      </c>
      <c r="U64" s="399"/>
      <c r="V64" s="399">
        <v>454947.65</v>
      </c>
      <c r="W64" s="399">
        <v>454947.65</v>
      </c>
      <c r="X64" s="399">
        <v>447487.37100000004</v>
      </c>
      <c r="Y64" s="399">
        <v>0</v>
      </c>
      <c r="Z64" s="399">
        <v>113821.06049999807</v>
      </c>
      <c r="AA64" s="399">
        <v>0</v>
      </c>
      <c r="AB64" s="399">
        <v>0</v>
      </c>
      <c r="AC64" s="399">
        <v>0</v>
      </c>
      <c r="AD64" s="399">
        <v>0</v>
      </c>
      <c r="AE64" s="399">
        <v>0</v>
      </c>
      <c r="AF64" s="399">
        <v>304704.81098846666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20228.982803236584</v>
      </c>
      <c r="AM64" s="399"/>
      <c r="AN64" s="399">
        <v>1295.2907525679198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14905.375307759712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319610.1862962264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447487.37100000004</v>
      </c>
      <c r="CJ64" s="399">
        <v>-7460.3090000000084</v>
      </c>
      <c r="CK64" s="399"/>
      <c r="CL64" s="399"/>
      <c r="CM64" s="399"/>
      <c r="CN64" s="399"/>
      <c r="CO64" s="399">
        <v>-7460.2790000000177</v>
      </c>
      <c r="CP64" s="399">
        <v>0</v>
      </c>
      <c r="CQ64" s="399">
        <v>31</v>
      </c>
      <c r="CR64" s="399">
        <v>-7476.1310858463985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0</v>
      </c>
      <c r="DA64" s="399">
        <v>0</v>
      </c>
      <c r="DB64" s="399">
        <v>0</v>
      </c>
      <c r="DC64" s="399">
        <v>0</v>
      </c>
      <c r="DD64" s="399">
        <v>0</v>
      </c>
      <c r="DE64" s="399">
        <v>0</v>
      </c>
      <c r="DF64" s="399">
        <v>0</v>
      </c>
      <c r="DG64" s="399">
        <v>0</v>
      </c>
      <c r="DH64" s="399">
        <v>0</v>
      </c>
      <c r="DI64" s="399">
        <v>-6413.0952859503886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-1010.805907565009</v>
      </c>
      <c r="DP64" s="399">
        <v>-52.229892331003384</v>
      </c>
      <c r="DQ64" s="399">
        <v>0</v>
      </c>
      <c r="DR64" s="399">
        <v>0</v>
      </c>
      <c r="DS64" s="399"/>
      <c r="DT64" s="399"/>
      <c r="DU64" s="399"/>
      <c r="DV64" s="399">
        <v>0</v>
      </c>
      <c r="DW64" s="399">
        <v>0</v>
      </c>
      <c r="DX64" s="399">
        <v>0</v>
      </c>
      <c r="DY64" s="399">
        <v>-7460.2790000000095</v>
      </c>
      <c r="DZ64" s="399">
        <v>0</v>
      </c>
      <c r="EA64" s="399">
        <v>0</v>
      </c>
      <c r="EB64" s="399">
        <v>0</v>
      </c>
      <c r="EC64" s="399">
        <v>0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218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2334</v>
      </c>
      <c r="D65" s="399" t="s">
        <v>533</v>
      </c>
      <c r="E65" s="399" t="s">
        <v>890</v>
      </c>
      <c r="F65" s="399" t="s">
        <v>1239</v>
      </c>
      <c r="G65" s="399" t="s">
        <v>1239</v>
      </c>
      <c r="H65" s="399" t="s">
        <v>1239</v>
      </c>
      <c r="I65" s="399" t="s">
        <v>1239</v>
      </c>
      <c r="J65" s="399" t="s">
        <v>2329</v>
      </c>
      <c r="K65" s="789">
        <v>44470</v>
      </c>
      <c r="L65" s="399">
        <v>9913</v>
      </c>
      <c r="M65" s="399">
        <v>9913</v>
      </c>
      <c r="N65" s="399">
        <v>0</v>
      </c>
      <c r="O65" s="399">
        <v>0</v>
      </c>
      <c r="P65" s="399">
        <v>0</v>
      </c>
      <c r="Q65" s="399">
        <v>0</v>
      </c>
      <c r="R65" s="399">
        <v>35.15</v>
      </c>
      <c r="S65" s="399"/>
      <c r="T65" s="399"/>
      <c r="U65" s="399">
        <v>348441.95</v>
      </c>
      <c r="V65" s="399"/>
      <c r="W65" s="399">
        <v>348441.95</v>
      </c>
      <c r="X65" s="399">
        <v>254367.58</v>
      </c>
      <c r="Y65" s="399">
        <v>0</v>
      </c>
      <c r="Z65" s="399">
        <v>0</v>
      </c>
      <c r="AA65" s="399">
        <v>0</v>
      </c>
      <c r="AB65" s="399">
        <v>0</v>
      </c>
      <c r="AC65" s="399">
        <v>0</v>
      </c>
      <c r="AD65" s="399">
        <v>132153.90344879933</v>
      </c>
      <c r="AE65" s="399">
        <v>216281.60819458135</v>
      </c>
      <c r="AF65" s="399"/>
      <c r="AG65" s="399"/>
      <c r="AH65" s="399"/>
      <c r="AI65" s="399">
        <v>0</v>
      </c>
      <c r="AJ65" s="399">
        <v>0</v>
      </c>
      <c r="AK65" s="399">
        <v>0</v>
      </c>
      <c r="AL65" s="399">
        <v>0</v>
      </c>
      <c r="AM65" s="399"/>
      <c r="AN65" s="399">
        <v>0</v>
      </c>
      <c r="AO65" s="399">
        <v>0</v>
      </c>
      <c r="AP65" s="399">
        <v>0</v>
      </c>
      <c r="AQ65" s="399">
        <v>0</v>
      </c>
      <c r="AR65" s="399">
        <v>0</v>
      </c>
      <c r="AS65" s="399"/>
      <c r="AT65" s="399"/>
      <c r="AU65" s="399">
        <v>0</v>
      </c>
      <c r="AV65" s="399">
        <v>0</v>
      </c>
      <c r="AW65" s="399">
        <v>0</v>
      </c>
      <c r="AX65" s="399"/>
      <c r="AY65" s="399"/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/>
      <c r="BG65" s="399">
        <v>0</v>
      </c>
      <c r="BH65" s="399">
        <v>0</v>
      </c>
      <c r="BI65" s="399">
        <v>7710.13</v>
      </c>
      <c r="BJ65" s="399">
        <v>35586.01</v>
      </c>
      <c r="BK65" s="399">
        <v>387854.34</v>
      </c>
      <c r="BL65" s="399">
        <v>32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0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254367.58</v>
      </c>
      <c r="CJ65" s="399">
        <v>-94074.400000000052</v>
      </c>
      <c r="CK65" s="399"/>
      <c r="CL65" s="399"/>
      <c r="CM65" s="399"/>
      <c r="CN65" s="399"/>
      <c r="CO65" s="399">
        <v>-94074.369999999981</v>
      </c>
      <c r="CP65" s="399">
        <v>0</v>
      </c>
      <c r="CQ65" s="399">
        <v>31</v>
      </c>
      <c r="CR65" s="399">
        <v>-629.40981246210868</v>
      </c>
      <c r="CS65" s="399">
        <v>0</v>
      </c>
      <c r="CT65" s="399">
        <v>0</v>
      </c>
      <c r="CU65" s="399">
        <v>0</v>
      </c>
      <c r="CV65" s="399">
        <v>0</v>
      </c>
      <c r="CW65" s="399"/>
      <c r="CX65" s="399"/>
      <c r="CY65" s="399"/>
      <c r="CZ65" s="399">
        <v>-629.40981246210868</v>
      </c>
      <c r="DA65" s="399">
        <v>0</v>
      </c>
      <c r="DB65" s="399">
        <v>0</v>
      </c>
      <c r="DC65" s="399"/>
      <c r="DD65" s="399"/>
      <c r="DE65" s="399">
        <v>0</v>
      </c>
      <c r="DF65" s="399">
        <v>0</v>
      </c>
      <c r="DG65" s="399">
        <v>0</v>
      </c>
      <c r="DH65" s="399">
        <v>0</v>
      </c>
      <c r="DI65" s="399">
        <v>0</v>
      </c>
      <c r="DJ65" s="399"/>
      <c r="DK65" s="399">
        <v>0</v>
      </c>
      <c r="DL65" s="399">
        <v>0</v>
      </c>
      <c r="DM65" s="399"/>
      <c r="DN65" s="399">
        <v>0</v>
      </c>
      <c r="DO65" s="399">
        <v>0</v>
      </c>
      <c r="DP65" s="399">
        <v>0</v>
      </c>
      <c r="DQ65" s="399">
        <v>0</v>
      </c>
      <c r="DR65" s="399">
        <v>0</v>
      </c>
      <c r="DS65" s="399"/>
      <c r="DT65" s="399"/>
      <c r="DU65" s="399">
        <v>216281.60819458135</v>
      </c>
      <c r="DV65" s="399"/>
      <c r="DW65" s="399">
        <v>0</v>
      </c>
      <c r="DX65" s="399">
        <v>0</v>
      </c>
      <c r="DY65" s="399">
        <v>-94074.370000000024</v>
      </c>
      <c r="DZ65" s="399"/>
      <c r="EA65" s="399">
        <v>0</v>
      </c>
      <c r="EB65" s="399"/>
      <c r="EC65" s="399">
        <v>-93437.847169184985</v>
      </c>
      <c r="ED65" s="399"/>
      <c r="EE65" s="399">
        <v>0</v>
      </c>
      <c r="EF65" s="399">
        <v>0</v>
      </c>
      <c r="EG65" s="399"/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/>
      <c r="EN65" s="399"/>
      <c r="EO65" s="399">
        <v>0</v>
      </c>
      <c r="EP65" s="399">
        <v>0</v>
      </c>
      <c r="EQ65" s="399"/>
      <c r="ER65" s="399">
        <v>0</v>
      </c>
      <c r="ES65" s="399"/>
      <c r="ET65" s="399">
        <v>0</v>
      </c>
      <c r="EU65" s="399"/>
      <c r="EV65" s="399">
        <v>218</v>
      </c>
      <c r="EW65" s="399"/>
      <c r="EX65" s="399"/>
      <c r="EY65" s="399"/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2361</v>
      </c>
      <c r="C66" s="399" t="s">
        <v>2334</v>
      </c>
      <c r="D66" s="399" t="s">
        <v>533</v>
      </c>
      <c r="E66" s="399" t="s">
        <v>890</v>
      </c>
      <c r="F66" s="399" t="s">
        <v>1239</v>
      </c>
      <c r="G66" s="399" t="s">
        <v>1239</v>
      </c>
      <c r="H66" s="399" t="s">
        <v>1239</v>
      </c>
      <c r="I66" s="399" t="s">
        <v>1239</v>
      </c>
      <c r="J66" s="399" t="s">
        <v>2329</v>
      </c>
      <c r="K66" s="789">
        <v>44470</v>
      </c>
      <c r="L66" s="399">
        <v>192</v>
      </c>
      <c r="M66" s="399">
        <v>192</v>
      </c>
      <c r="N66" s="399">
        <v>0</v>
      </c>
      <c r="O66" s="399">
        <v>0</v>
      </c>
      <c r="P66" s="399">
        <v>0</v>
      </c>
      <c r="Q66" s="399">
        <v>0</v>
      </c>
      <c r="R66" s="399">
        <v>35.15</v>
      </c>
      <c r="S66" s="399"/>
      <c r="T66" s="399"/>
      <c r="U66" s="399">
        <v>6748.7999999999993</v>
      </c>
      <c r="V66" s="399"/>
      <c r="W66" s="399">
        <v>6748.7999999999993</v>
      </c>
      <c r="X66" s="399">
        <v>4926.72</v>
      </c>
      <c r="Y66" s="399">
        <v>0</v>
      </c>
      <c r="Z66" s="399">
        <v>0</v>
      </c>
      <c r="AA66" s="399">
        <v>0</v>
      </c>
      <c r="AB66" s="399">
        <v>0</v>
      </c>
      <c r="AC66" s="399">
        <v>0</v>
      </c>
      <c r="AD66" s="399">
        <v>2559.6236721647806</v>
      </c>
      <c r="AE66" s="399">
        <v>4189.0516264863936</v>
      </c>
      <c r="AF66" s="399"/>
      <c r="AG66" s="399"/>
      <c r="AH66" s="399"/>
      <c r="AI66" s="399">
        <v>0</v>
      </c>
      <c r="AJ66" s="399">
        <v>0</v>
      </c>
      <c r="AK66" s="399">
        <v>0</v>
      </c>
      <c r="AL66" s="399">
        <v>0</v>
      </c>
      <c r="AM66" s="399"/>
      <c r="AN66" s="399">
        <v>0</v>
      </c>
      <c r="AO66" s="399">
        <v>0</v>
      </c>
      <c r="AP66" s="399">
        <v>0</v>
      </c>
      <c r="AQ66" s="399">
        <v>0</v>
      </c>
      <c r="AR66" s="399">
        <v>0</v>
      </c>
      <c r="AS66" s="399"/>
      <c r="AT66" s="399"/>
      <c r="AU66" s="399">
        <v>0</v>
      </c>
      <c r="AV66" s="399">
        <v>0</v>
      </c>
      <c r="AW66" s="399">
        <v>0</v>
      </c>
      <c r="AX66" s="399"/>
      <c r="AY66" s="399"/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/>
      <c r="BG66" s="399">
        <v>0</v>
      </c>
      <c r="BH66" s="399">
        <v>0</v>
      </c>
      <c r="BI66" s="399">
        <v>34.71</v>
      </c>
      <c r="BJ66" s="399">
        <v>160.22999999999999</v>
      </c>
      <c r="BK66" s="399">
        <v>2732.41</v>
      </c>
      <c r="BL66" s="399">
        <v>1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0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4926.72</v>
      </c>
      <c r="CJ66" s="399">
        <v>-1822.1099999999997</v>
      </c>
      <c r="CK66" s="399"/>
      <c r="CL66" s="399"/>
      <c r="CM66" s="399"/>
      <c r="CN66" s="399"/>
      <c r="CO66" s="399">
        <v>-1822.0799999999997</v>
      </c>
      <c r="CP66" s="399">
        <v>0</v>
      </c>
      <c r="CQ66" s="399">
        <v>31</v>
      </c>
      <c r="CR66" s="399">
        <v>-12.190727730527669</v>
      </c>
      <c r="CS66" s="399">
        <v>0</v>
      </c>
      <c r="CT66" s="399">
        <v>0</v>
      </c>
      <c r="CU66" s="399">
        <v>0</v>
      </c>
      <c r="CV66" s="399">
        <v>0</v>
      </c>
      <c r="CW66" s="399"/>
      <c r="CX66" s="399"/>
      <c r="CY66" s="399"/>
      <c r="CZ66" s="399">
        <v>-12.190727730527669</v>
      </c>
      <c r="DA66" s="399">
        <v>0</v>
      </c>
      <c r="DB66" s="399">
        <v>0</v>
      </c>
      <c r="DC66" s="399"/>
      <c r="DD66" s="399"/>
      <c r="DE66" s="399">
        <v>0</v>
      </c>
      <c r="DF66" s="399">
        <v>0</v>
      </c>
      <c r="DG66" s="399">
        <v>0</v>
      </c>
      <c r="DH66" s="399">
        <v>0</v>
      </c>
      <c r="DI66" s="399">
        <v>0</v>
      </c>
      <c r="DJ66" s="399"/>
      <c r="DK66" s="399">
        <v>0</v>
      </c>
      <c r="DL66" s="399">
        <v>0</v>
      </c>
      <c r="DM66" s="399"/>
      <c r="DN66" s="399">
        <v>0</v>
      </c>
      <c r="DO66" s="399">
        <v>0</v>
      </c>
      <c r="DP66" s="399">
        <v>0</v>
      </c>
      <c r="DQ66" s="399">
        <v>0</v>
      </c>
      <c r="DR66" s="399">
        <v>0</v>
      </c>
      <c r="DS66" s="399"/>
      <c r="DT66" s="399"/>
      <c r="DU66" s="399">
        <v>4189.0516264863936</v>
      </c>
      <c r="DV66" s="399"/>
      <c r="DW66" s="399">
        <v>0</v>
      </c>
      <c r="DX66" s="399">
        <v>0</v>
      </c>
      <c r="DY66" s="399">
        <v>-1822.079999999999</v>
      </c>
      <c r="DZ66" s="399"/>
      <c r="EA66" s="399">
        <v>0</v>
      </c>
      <c r="EB66" s="399"/>
      <c r="EC66" s="399">
        <v>-1809.7515037308099</v>
      </c>
      <c r="ED66" s="399"/>
      <c r="EE66" s="399">
        <v>0</v>
      </c>
      <c r="EF66" s="399">
        <v>0</v>
      </c>
      <c r="EG66" s="399"/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/>
      <c r="EN66" s="399"/>
      <c r="EO66" s="399">
        <v>0</v>
      </c>
      <c r="EP66" s="399">
        <v>0</v>
      </c>
      <c r="EQ66" s="399"/>
      <c r="ER66" s="399">
        <v>0</v>
      </c>
      <c r="ES66" s="399"/>
      <c r="ET66" s="399">
        <v>0</v>
      </c>
      <c r="EU66" s="399"/>
      <c r="EV66" s="399">
        <v>218</v>
      </c>
      <c r="EW66" s="399"/>
      <c r="EX66" s="399"/>
      <c r="EY66" s="399"/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2328</v>
      </c>
      <c r="D67" s="399" t="s">
        <v>1826</v>
      </c>
      <c r="E67" s="399" t="s">
        <v>918</v>
      </c>
      <c r="F67" s="399" t="s">
        <v>1239</v>
      </c>
      <c r="G67" s="399" t="s">
        <v>1239</v>
      </c>
      <c r="H67" s="399" t="s">
        <v>1239</v>
      </c>
      <c r="I67" s="399" t="s">
        <v>1239</v>
      </c>
      <c r="J67" s="399" t="s">
        <v>2329</v>
      </c>
      <c r="K67" s="789">
        <v>44470</v>
      </c>
      <c r="L67" s="399">
        <v>0</v>
      </c>
      <c r="M67" s="399">
        <v>0</v>
      </c>
      <c r="N67" s="399">
        <v>194.86199999999999</v>
      </c>
      <c r="O67" s="399">
        <v>194.86199999999999</v>
      </c>
      <c r="P67" s="399">
        <v>194.86199999999999</v>
      </c>
      <c r="Q67" s="399">
        <v>194.86199999999999</v>
      </c>
      <c r="R67" s="399"/>
      <c r="S67" s="399">
        <v>521.86</v>
      </c>
      <c r="T67" s="399">
        <v>141.32</v>
      </c>
      <c r="U67" s="399"/>
      <c r="V67" s="399">
        <v>129228.58116</v>
      </c>
      <c r="W67" s="399">
        <v>129228.58116</v>
      </c>
      <c r="X67" s="399">
        <v>101002.82045999999</v>
      </c>
      <c r="Y67" s="399">
        <v>0</v>
      </c>
      <c r="Z67" s="399">
        <v>11823.649854373054</v>
      </c>
      <c r="AA67" s="399">
        <v>0</v>
      </c>
      <c r="AB67" s="399">
        <v>0</v>
      </c>
      <c r="AC67" s="399">
        <v>0</v>
      </c>
      <c r="AD67" s="399">
        <v>20958.149008827721</v>
      </c>
      <c r="AE67" s="399">
        <v>63320.56178762739</v>
      </c>
      <c r="AF67" s="399">
        <v>27537.689343892856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1828.1937931054365</v>
      </c>
      <c r="AM67" s="399"/>
      <c r="AN67" s="399">
        <v>270.24761567545158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3488.9842362188388</v>
      </c>
      <c r="BH67" s="399">
        <v>0</v>
      </c>
      <c r="BI67" s="399">
        <v>862.28</v>
      </c>
      <c r="BJ67" s="399">
        <v>3990.28</v>
      </c>
      <c r="BK67" s="399">
        <v>43829.94</v>
      </c>
      <c r="BL67" s="399">
        <v>556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31026.673580111696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101001.7838</v>
      </c>
      <c r="CJ67" s="399">
        <v>-28226.827359999981</v>
      </c>
      <c r="CK67" s="399"/>
      <c r="CL67" s="399"/>
      <c r="CM67" s="399"/>
      <c r="CN67" s="399"/>
      <c r="CO67" s="399">
        <v>-28225.760700000003</v>
      </c>
      <c r="CP67" s="399">
        <v>0</v>
      </c>
      <c r="CQ67" s="399">
        <v>31</v>
      </c>
      <c r="CR67" s="399">
        <v>-868.25389330034523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-99.817442337749526</v>
      </c>
      <c r="DA67" s="399">
        <v>0</v>
      </c>
      <c r="DB67" s="399">
        <v>0</v>
      </c>
      <c r="DC67" s="399">
        <v>0</v>
      </c>
      <c r="DD67" s="399">
        <v>0</v>
      </c>
      <c r="DE67" s="399">
        <v>0</v>
      </c>
      <c r="DF67" s="399">
        <v>0</v>
      </c>
      <c r="DG67" s="399">
        <v>0</v>
      </c>
      <c r="DH67" s="399">
        <v>0</v>
      </c>
      <c r="DI67" s="399">
        <v>-666.18772317454204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-91.351557526114902</v>
      </c>
      <c r="DP67" s="399">
        <v>-10.897170261931194</v>
      </c>
      <c r="DQ67" s="399">
        <v>0</v>
      </c>
      <c r="DR67" s="399">
        <v>0</v>
      </c>
      <c r="DS67" s="399"/>
      <c r="DT67" s="399"/>
      <c r="DU67" s="399"/>
      <c r="DV67" s="399">
        <v>63320.56178762739</v>
      </c>
      <c r="DW67" s="399">
        <v>0</v>
      </c>
      <c r="DX67" s="399">
        <v>0</v>
      </c>
      <c r="DY67" s="399">
        <v>-28225.760699999999</v>
      </c>
      <c r="DZ67" s="399">
        <v>0</v>
      </c>
      <c r="EA67" s="399">
        <v>0</v>
      </c>
      <c r="EB67" s="399">
        <v>0</v>
      </c>
      <c r="EC67" s="399">
        <v>-27355.710105763312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218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2361</v>
      </c>
      <c r="C68" s="399" t="s">
        <v>2328</v>
      </c>
      <c r="D68" s="399" t="s">
        <v>1826</v>
      </c>
      <c r="E68" s="399" t="s">
        <v>918</v>
      </c>
      <c r="F68" s="399" t="s">
        <v>1239</v>
      </c>
      <c r="G68" s="399" t="s">
        <v>1239</v>
      </c>
      <c r="H68" s="399" t="s">
        <v>1239</v>
      </c>
      <c r="I68" s="399" t="s">
        <v>1239</v>
      </c>
      <c r="J68" s="399" t="s">
        <v>2329</v>
      </c>
      <c r="K68" s="789">
        <v>44470</v>
      </c>
      <c r="L68" s="399">
        <v>0</v>
      </c>
      <c r="M68" s="399">
        <v>0</v>
      </c>
      <c r="N68" s="399">
        <v>4.9320000000000004</v>
      </c>
      <c r="O68" s="399">
        <v>4.9320000000000004</v>
      </c>
      <c r="P68" s="399">
        <v>4.9320000000000004</v>
      </c>
      <c r="Q68" s="399">
        <v>4.9320000000000004</v>
      </c>
      <c r="R68" s="399"/>
      <c r="S68" s="399">
        <v>521.86</v>
      </c>
      <c r="T68" s="399">
        <v>141.32</v>
      </c>
      <c r="U68" s="399"/>
      <c r="V68" s="399">
        <v>3270.8037600000002</v>
      </c>
      <c r="W68" s="399">
        <v>3270.8037600000002</v>
      </c>
      <c r="X68" s="399">
        <v>2556.4035600000002</v>
      </c>
      <c r="Y68" s="399">
        <v>0</v>
      </c>
      <c r="Z68" s="399">
        <v>299.25917357805992</v>
      </c>
      <c r="AA68" s="399">
        <v>0</v>
      </c>
      <c r="AB68" s="399">
        <v>0</v>
      </c>
      <c r="AC68" s="399">
        <v>0</v>
      </c>
      <c r="AD68" s="399">
        <v>530.45535256508879</v>
      </c>
      <c r="AE68" s="399">
        <v>1602.6573202398536</v>
      </c>
      <c r="AF68" s="399">
        <v>696.98496291775507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46.271986265131289</v>
      </c>
      <c r="AM68" s="399"/>
      <c r="AN68" s="399">
        <v>6.8400264829023989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88.306956990235733</v>
      </c>
      <c r="BH68" s="399">
        <v>0</v>
      </c>
      <c r="BI68" s="399">
        <v>21.82</v>
      </c>
      <c r="BJ68" s="399">
        <v>101.18</v>
      </c>
      <c r="BK68" s="399">
        <v>3326.36</v>
      </c>
      <c r="BL68" s="399">
        <v>24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785.29191990799086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2555.3669</v>
      </c>
      <c r="CJ68" s="399">
        <v>-715.46686000000091</v>
      </c>
      <c r="CK68" s="399"/>
      <c r="CL68" s="399"/>
      <c r="CM68" s="399"/>
      <c r="CN68" s="399"/>
      <c r="CO68" s="399">
        <v>-714.40020000000015</v>
      </c>
      <c r="CP68" s="399">
        <v>0</v>
      </c>
      <c r="CQ68" s="399">
        <v>31</v>
      </c>
      <c r="CR68" s="399">
        <v>-21.975696655875936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-2.5264013794879929</v>
      </c>
      <c r="DA68" s="399">
        <v>0</v>
      </c>
      <c r="DB68" s="399">
        <v>0</v>
      </c>
      <c r="DC68" s="399">
        <v>0</v>
      </c>
      <c r="DD68" s="399">
        <v>0</v>
      </c>
      <c r="DE68" s="399">
        <v>0</v>
      </c>
      <c r="DF68" s="399">
        <v>0</v>
      </c>
      <c r="DG68" s="399">
        <v>0</v>
      </c>
      <c r="DH68" s="399">
        <v>0</v>
      </c>
      <c r="DI68" s="399">
        <v>-16.86135752838851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-2.3121279763052769</v>
      </c>
      <c r="DP68" s="399">
        <v>-0.27580977169404353</v>
      </c>
      <c r="DQ68" s="399">
        <v>0</v>
      </c>
      <c r="DR68" s="399">
        <v>0</v>
      </c>
      <c r="DS68" s="399"/>
      <c r="DT68" s="399"/>
      <c r="DU68" s="399"/>
      <c r="DV68" s="399">
        <v>1602.6573202398536</v>
      </c>
      <c r="DW68" s="399">
        <v>0</v>
      </c>
      <c r="DX68" s="399">
        <v>0</v>
      </c>
      <c r="DY68" s="399">
        <v>-714.40020000000004</v>
      </c>
      <c r="DZ68" s="399">
        <v>0</v>
      </c>
      <c r="EA68" s="399">
        <v>0</v>
      </c>
      <c r="EB68" s="399">
        <v>0</v>
      </c>
      <c r="EC68" s="399">
        <v>-692.37902844897781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218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2334</v>
      </c>
      <c r="D69" s="399" t="s">
        <v>533</v>
      </c>
      <c r="E69" s="399" t="s">
        <v>918</v>
      </c>
      <c r="F69" s="399" t="s">
        <v>1239</v>
      </c>
      <c r="G69" s="399" t="s">
        <v>1239</v>
      </c>
      <c r="H69" s="399" t="s">
        <v>1239</v>
      </c>
      <c r="I69" s="399" t="s">
        <v>893</v>
      </c>
      <c r="J69" s="399" t="s">
        <v>2329</v>
      </c>
      <c r="K69" s="789">
        <v>44470</v>
      </c>
      <c r="L69" s="399">
        <v>0</v>
      </c>
      <c r="M69" s="399">
        <v>0</v>
      </c>
      <c r="N69" s="399">
        <v>2.3210000000000002</v>
      </c>
      <c r="O69" s="399">
        <v>2.3210000000000002</v>
      </c>
      <c r="P69" s="399">
        <v>2.3210000000000002</v>
      </c>
      <c r="Q69" s="399">
        <v>2.3210000000000002</v>
      </c>
      <c r="R69" s="399"/>
      <c r="S69" s="399">
        <v>2741.05</v>
      </c>
      <c r="T69" s="399">
        <v>141.32</v>
      </c>
      <c r="U69" s="399"/>
      <c r="V69" s="399">
        <v>6689.980770000001</v>
      </c>
      <c r="W69" s="399">
        <v>6689.980770000001</v>
      </c>
      <c r="X69" s="399">
        <v>4790.26548</v>
      </c>
      <c r="Y69" s="399">
        <v>0</v>
      </c>
      <c r="Z69" s="399">
        <v>122.52333159589803</v>
      </c>
      <c r="AA69" s="399">
        <v>0</v>
      </c>
      <c r="AB69" s="399">
        <v>0</v>
      </c>
      <c r="AC69" s="399">
        <v>0</v>
      </c>
      <c r="AD69" s="399">
        <v>1841.8561930561204</v>
      </c>
      <c r="AE69" s="399">
        <v>4358.3940773751629</v>
      </c>
      <c r="AF69" s="399">
        <v>328.00123660423958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21.775604241964665</v>
      </c>
      <c r="AM69" s="399"/>
      <c r="AN69" s="399">
        <v>1.3943231392575386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16.044976504097718</v>
      </c>
      <c r="BH69" s="399">
        <v>0</v>
      </c>
      <c r="BI69" s="399">
        <v>0</v>
      </c>
      <c r="BJ69" s="399">
        <v>0</v>
      </c>
      <c r="BK69" s="399">
        <v>0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344.04621310833727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4788.2015999999994</v>
      </c>
      <c r="CJ69" s="399">
        <v>-1901.8091700000023</v>
      </c>
      <c r="CK69" s="399"/>
      <c r="CL69" s="399"/>
      <c r="CM69" s="399"/>
      <c r="CN69" s="399"/>
      <c r="CO69" s="399">
        <v>-1899.7152900000008</v>
      </c>
      <c r="CP69" s="399">
        <v>0</v>
      </c>
      <c r="CQ69" s="399">
        <v>31</v>
      </c>
      <c r="CR69" s="399">
        <v>-16.819938364095378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-8.7722142956170046</v>
      </c>
      <c r="DA69" s="399">
        <v>0</v>
      </c>
      <c r="DB69" s="399">
        <v>0</v>
      </c>
      <c r="DC69" s="399">
        <v>0</v>
      </c>
      <c r="DD69" s="399">
        <v>0</v>
      </c>
      <c r="DE69" s="399">
        <v>0</v>
      </c>
      <c r="DF69" s="399">
        <v>0</v>
      </c>
      <c r="DG69" s="399">
        <v>0</v>
      </c>
      <c r="DH69" s="399">
        <v>0</v>
      </c>
      <c r="DI69" s="399">
        <v>-6.9034131014497291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-1.0880878006902996</v>
      </c>
      <c r="DP69" s="399">
        <v>-5.6223166338269071E-2</v>
      </c>
      <c r="DQ69" s="399">
        <v>0</v>
      </c>
      <c r="DR69" s="399">
        <v>0</v>
      </c>
      <c r="DS69" s="399"/>
      <c r="DT69" s="399"/>
      <c r="DU69" s="399"/>
      <c r="DV69" s="399">
        <v>4358.3940773751629</v>
      </c>
      <c r="DW69" s="399">
        <v>0</v>
      </c>
      <c r="DX69" s="399">
        <v>0</v>
      </c>
      <c r="DY69" s="399">
        <v>-1899.715290000001</v>
      </c>
      <c r="DZ69" s="399">
        <v>0</v>
      </c>
      <c r="EA69" s="399">
        <v>0</v>
      </c>
      <c r="EB69" s="399">
        <v>0</v>
      </c>
      <c r="EC69" s="399">
        <v>-1882.9107250695261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218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2334</v>
      </c>
      <c r="D70" s="399" t="s">
        <v>533</v>
      </c>
      <c r="E70" s="399" t="s">
        <v>918</v>
      </c>
      <c r="F70" s="399" t="s">
        <v>1239</v>
      </c>
      <c r="G70" s="399" t="s">
        <v>1239</v>
      </c>
      <c r="H70" s="399" t="s">
        <v>1239</v>
      </c>
      <c r="I70" s="399" t="s">
        <v>2326</v>
      </c>
      <c r="J70" s="399" t="s">
        <v>2329</v>
      </c>
      <c r="K70" s="789">
        <v>44470</v>
      </c>
      <c r="L70" s="399">
        <v>0</v>
      </c>
      <c r="M70" s="399">
        <v>0</v>
      </c>
      <c r="N70" s="399">
        <v>36.151000000000003</v>
      </c>
      <c r="O70" s="399">
        <v>36.151000000000003</v>
      </c>
      <c r="P70" s="399">
        <v>36.151000000000003</v>
      </c>
      <c r="Q70" s="399">
        <v>36.151000000000003</v>
      </c>
      <c r="R70" s="399"/>
      <c r="S70" s="399">
        <v>69.680000000000007</v>
      </c>
      <c r="T70" s="399">
        <v>141.32</v>
      </c>
      <c r="U70" s="399"/>
      <c r="V70" s="399">
        <v>7627.8610000000008</v>
      </c>
      <c r="W70" s="399">
        <v>7627.8610000000008</v>
      </c>
      <c r="X70" s="399">
        <v>7502.7785400000012</v>
      </c>
      <c r="Y70" s="399">
        <v>0</v>
      </c>
      <c r="Z70" s="399">
        <v>1908.3761139695432</v>
      </c>
      <c r="AA70" s="399">
        <v>0</v>
      </c>
      <c r="AB70" s="399">
        <v>0</v>
      </c>
      <c r="AC70" s="399">
        <v>0</v>
      </c>
      <c r="AD70" s="399">
        <v>0</v>
      </c>
      <c r="AE70" s="399">
        <v>0</v>
      </c>
      <c r="AF70" s="399">
        <v>5108.8206395863272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339.16840540769698</v>
      </c>
      <c r="AM70" s="399"/>
      <c r="AN70" s="399">
        <v>21.717438951873881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249.91036001707738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5358.7309996034046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7502.5709999999999</v>
      </c>
      <c r="CJ70" s="399">
        <v>-125.32000000000153</v>
      </c>
      <c r="CK70" s="399"/>
      <c r="CL70" s="399"/>
      <c r="CM70" s="399"/>
      <c r="CN70" s="399"/>
      <c r="CO70" s="399">
        <v>-125.0824600000003</v>
      </c>
      <c r="CP70" s="399">
        <v>0</v>
      </c>
      <c r="CQ70" s="399">
        <v>31</v>
      </c>
      <c r="CR70" s="399">
        <v>-125.34824334319728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0</v>
      </c>
      <c r="DA70" s="399">
        <v>0</v>
      </c>
      <c r="DB70" s="399">
        <v>0</v>
      </c>
      <c r="DC70" s="399">
        <v>0</v>
      </c>
      <c r="DD70" s="399">
        <v>0</v>
      </c>
      <c r="DE70" s="399">
        <v>0</v>
      </c>
      <c r="DF70" s="399">
        <v>0</v>
      </c>
      <c r="DG70" s="399">
        <v>0</v>
      </c>
      <c r="DH70" s="399">
        <v>0</v>
      </c>
      <c r="DI70" s="399">
        <v>-107.52489747113714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-16.947635537593726</v>
      </c>
      <c r="DP70" s="399">
        <v>-0.87571033446564428</v>
      </c>
      <c r="DQ70" s="399">
        <v>0</v>
      </c>
      <c r="DR70" s="399">
        <v>0</v>
      </c>
      <c r="DS70" s="399"/>
      <c r="DT70" s="399"/>
      <c r="DU70" s="399"/>
      <c r="DV70" s="399">
        <v>0</v>
      </c>
      <c r="DW70" s="399">
        <v>0</v>
      </c>
      <c r="DX70" s="399">
        <v>0</v>
      </c>
      <c r="DY70" s="399">
        <v>-125.08246000000008</v>
      </c>
      <c r="DZ70" s="399">
        <v>0</v>
      </c>
      <c r="EA70" s="399">
        <v>0</v>
      </c>
      <c r="EB70" s="399">
        <v>0</v>
      </c>
      <c r="EC70" s="399">
        <v>0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218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956</v>
      </c>
      <c r="C71" s="399" t="s">
        <v>2334</v>
      </c>
      <c r="D71" s="399" t="s">
        <v>533</v>
      </c>
      <c r="E71" s="399" t="s">
        <v>918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2329</v>
      </c>
      <c r="K71" s="789">
        <v>44470</v>
      </c>
      <c r="L71" s="399">
        <v>300</v>
      </c>
      <c r="M71" s="399">
        <v>300</v>
      </c>
      <c r="N71" s="399">
        <v>0</v>
      </c>
      <c r="O71" s="399">
        <v>0</v>
      </c>
      <c r="P71" s="399">
        <v>0</v>
      </c>
      <c r="Q71" s="399">
        <v>0</v>
      </c>
      <c r="R71" s="399">
        <v>35.15</v>
      </c>
      <c r="S71" s="399"/>
      <c r="T71" s="399"/>
      <c r="U71" s="399">
        <v>10545</v>
      </c>
      <c r="V71" s="399"/>
      <c r="W71" s="399">
        <v>10545</v>
      </c>
      <c r="X71" s="399">
        <v>7698</v>
      </c>
      <c r="Y71" s="399">
        <v>0</v>
      </c>
      <c r="Z71" s="399">
        <v>0</v>
      </c>
      <c r="AA71" s="399">
        <v>0</v>
      </c>
      <c r="AB71" s="399">
        <v>0</v>
      </c>
      <c r="AC71" s="399">
        <v>0</v>
      </c>
      <c r="AD71" s="399">
        <v>3999.4119877574699</v>
      </c>
      <c r="AE71" s="399">
        <v>6545.3931663849899</v>
      </c>
      <c r="AF71" s="399"/>
      <c r="AG71" s="399"/>
      <c r="AH71" s="399"/>
      <c r="AI71" s="399">
        <v>0</v>
      </c>
      <c r="AJ71" s="399">
        <v>0</v>
      </c>
      <c r="AK71" s="399">
        <v>0</v>
      </c>
      <c r="AL71" s="399">
        <v>0</v>
      </c>
      <c r="AM71" s="399"/>
      <c r="AN71" s="399">
        <v>0</v>
      </c>
      <c r="AO71" s="399">
        <v>0</v>
      </c>
      <c r="AP71" s="399">
        <v>0</v>
      </c>
      <c r="AQ71" s="399">
        <v>0</v>
      </c>
      <c r="AR71" s="399">
        <v>0</v>
      </c>
      <c r="AS71" s="399"/>
      <c r="AT71" s="399"/>
      <c r="AU71" s="399">
        <v>0</v>
      </c>
      <c r="AV71" s="399">
        <v>0</v>
      </c>
      <c r="AW71" s="399">
        <v>0</v>
      </c>
      <c r="AX71" s="399"/>
      <c r="AY71" s="399"/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/>
      <c r="BG71" s="399">
        <v>0</v>
      </c>
      <c r="BH71" s="399">
        <v>0</v>
      </c>
      <c r="BI71" s="399">
        <v>171.71</v>
      </c>
      <c r="BJ71" s="399">
        <v>792.54</v>
      </c>
      <c r="BK71" s="399">
        <v>8468.73</v>
      </c>
      <c r="BL71" s="399">
        <v>3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0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7698</v>
      </c>
      <c r="CJ71" s="399">
        <v>-2847.0300000000007</v>
      </c>
      <c r="CK71" s="399"/>
      <c r="CL71" s="399"/>
      <c r="CM71" s="399"/>
      <c r="CN71" s="399"/>
      <c r="CO71" s="399">
        <v>-2846.9999999999995</v>
      </c>
      <c r="CP71" s="399">
        <v>0</v>
      </c>
      <c r="CQ71" s="399">
        <v>31</v>
      </c>
      <c r="CR71" s="399">
        <v>-19.048012078949796</v>
      </c>
      <c r="CS71" s="399">
        <v>0</v>
      </c>
      <c r="CT71" s="399">
        <v>0</v>
      </c>
      <c r="CU71" s="399">
        <v>0</v>
      </c>
      <c r="CV71" s="399">
        <v>0</v>
      </c>
      <c r="CW71" s="399"/>
      <c r="CX71" s="399"/>
      <c r="CY71" s="399"/>
      <c r="CZ71" s="399">
        <v>-19.048012078949796</v>
      </c>
      <c r="DA71" s="399">
        <v>0</v>
      </c>
      <c r="DB71" s="399">
        <v>0</v>
      </c>
      <c r="DC71" s="399"/>
      <c r="DD71" s="399"/>
      <c r="DE71" s="399">
        <v>0</v>
      </c>
      <c r="DF71" s="399">
        <v>0</v>
      </c>
      <c r="DG71" s="399">
        <v>0</v>
      </c>
      <c r="DH71" s="399">
        <v>0</v>
      </c>
      <c r="DI71" s="399">
        <v>0</v>
      </c>
      <c r="DJ71" s="399"/>
      <c r="DK71" s="399">
        <v>0</v>
      </c>
      <c r="DL71" s="399">
        <v>0</v>
      </c>
      <c r="DM71" s="399"/>
      <c r="DN71" s="399">
        <v>0</v>
      </c>
      <c r="DO71" s="399">
        <v>0</v>
      </c>
      <c r="DP71" s="399">
        <v>0</v>
      </c>
      <c r="DQ71" s="399">
        <v>0</v>
      </c>
      <c r="DR71" s="399">
        <v>0</v>
      </c>
      <c r="DS71" s="399"/>
      <c r="DT71" s="399"/>
      <c r="DU71" s="399">
        <v>6545.3931663849899</v>
      </c>
      <c r="DV71" s="399"/>
      <c r="DW71" s="399">
        <v>0</v>
      </c>
      <c r="DX71" s="399">
        <v>0</v>
      </c>
      <c r="DY71" s="399">
        <v>-2847</v>
      </c>
      <c r="DZ71" s="399"/>
      <c r="EA71" s="399">
        <v>0</v>
      </c>
      <c r="EB71" s="399"/>
      <c r="EC71" s="399">
        <v>-2827.7367245793903</v>
      </c>
      <c r="ED71" s="399"/>
      <c r="EE71" s="399">
        <v>0</v>
      </c>
      <c r="EF71" s="399">
        <v>0</v>
      </c>
      <c r="EG71" s="399"/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/>
      <c r="EN71" s="399"/>
      <c r="EO71" s="399">
        <v>0</v>
      </c>
      <c r="EP71" s="399">
        <v>0</v>
      </c>
      <c r="EQ71" s="399"/>
      <c r="ER71" s="399">
        <v>0</v>
      </c>
      <c r="ES71" s="399"/>
      <c r="ET71" s="399">
        <v>0</v>
      </c>
      <c r="EU71" s="399"/>
      <c r="EV71" s="399">
        <v>218</v>
      </c>
      <c r="EW71" s="399"/>
      <c r="EX71" s="399"/>
      <c r="EY71" s="399"/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2328</v>
      </c>
      <c r="D72" s="399" t="s">
        <v>2335</v>
      </c>
      <c r="E72" s="399" t="s">
        <v>894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2329</v>
      </c>
      <c r="K72" s="789">
        <v>44470</v>
      </c>
      <c r="L72" s="399">
        <v>0</v>
      </c>
      <c r="M72" s="399">
        <v>0</v>
      </c>
      <c r="N72" s="399">
        <v>3208.328</v>
      </c>
      <c r="O72" s="399">
        <v>3208.328</v>
      </c>
      <c r="P72" s="399">
        <v>3208.328</v>
      </c>
      <c r="Q72" s="399">
        <v>3208.328</v>
      </c>
      <c r="R72" s="399"/>
      <c r="S72" s="399">
        <v>521.86</v>
      </c>
      <c r="T72" s="399">
        <v>141.32</v>
      </c>
      <c r="U72" s="399"/>
      <c r="V72" s="399">
        <v>2127698.9630399998</v>
      </c>
      <c r="W72" s="399">
        <v>2127698.9630399998</v>
      </c>
      <c r="X72" s="399">
        <v>1662972.6522399997</v>
      </c>
      <c r="Y72" s="399">
        <v>0</v>
      </c>
      <c r="Z72" s="399">
        <v>194671.85438916253</v>
      </c>
      <c r="AA72" s="399">
        <v>0</v>
      </c>
      <c r="AB72" s="399">
        <v>0</v>
      </c>
      <c r="AC72" s="399">
        <v>0</v>
      </c>
      <c r="AD72" s="399">
        <v>345067.87517932802</v>
      </c>
      <c r="AE72" s="399">
        <v>1042548.7337653058</v>
      </c>
      <c r="AF72" s="399">
        <v>453397.48015166161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30100.508748993539</v>
      </c>
      <c r="AM72" s="399"/>
      <c r="AN72" s="399">
        <v>4449.5232128623857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57444.785625825018</v>
      </c>
      <c r="BH72" s="399">
        <v>0</v>
      </c>
      <c r="BI72" s="399">
        <v>14238.03</v>
      </c>
      <c r="BJ72" s="399">
        <v>65859.070000000007</v>
      </c>
      <c r="BK72" s="399">
        <v>486973.48</v>
      </c>
      <c r="BL72" s="399">
        <v>6542</v>
      </c>
      <c r="BM72" s="399"/>
      <c r="BN72" s="399"/>
      <c r="BO72" s="399"/>
      <c r="BP72" s="399"/>
      <c r="BQ72" s="399"/>
      <c r="BR72" s="399">
        <v>199558.00160000002</v>
      </c>
      <c r="BS72" s="399"/>
      <c r="BT72" s="399"/>
      <c r="BU72" s="399"/>
      <c r="BV72" s="399">
        <v>510842.26577748661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1463415.5628999998</v>
      </c>
      <c r="CJ72" s="399">
        <v>-408932.60462000035</v>
      </c>
      <c r="CK72" s="399"/>
      <c r="CL72" s="399"/>
      <c r="CM72" s="399"/>
      <c r="CN72" s="399"/>
      <c r="CO72" s="399">
        <v>-464726.31080000009</v>
      </c>
      <c r="CP72" s="399">
        <v>0</v>
      </c>
      <c r="CQ72" s="399">
        <v>31</v>
      </c>
      <c r="CR72" s="399">
        <v>-14295.466930363327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-1643.4558566604974</v>
      </c>
      <c r="DA72" s="399">
        <v>0</v>
      </c>
      <c r="DB72" s="399">
        <v>0</v>
      </c>
      <c r="DC72" s="399">
        <v>0</v>
      </c>
      <c r="DD72" s="399">
        <v>0</v>
      </c>
      <c r="DE72" s="399">
        <v>0</v>
      </c>
      <c r="DF72" s="399">
        <v>0</v>
      </c>
      <c r="DG72" s="399">
        <v>0</v>
      </c>
      <c r="DH72" s="399">
        <v>0</v>
      </c>
      <c r="DI72" s="399">
        <v>-10968.525035754166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-1504.0683142667403</v>
      </c>
      <c r="DP72" s="399">
        <v>-179.41772368199599</v>
      </c>
      <c r="DQ72" s="399">
        <v>0</v>
      </c>
      <c r="DR72" s="399">
        <v>0</v>
      </c>
      <c r="DS72" s="399"/>
      <c r="DT72" s="399"/>
      <c r="DU72" s="399"/>
      <c r="DV72" s="399">
        <v>1042548.7337653058</v>
      </c>
      <c r="DW72" s="399">
        <v>0</v>
      </c>
      <c r="DX72" s="399">
        <v>0</v>
      </c>
      <c r="DY72" s="399">
        <v>-464726.31080000009</v>
      </c>
      <c r="DZ72" s="399">
        <v>0</v>
      </c>
      <c r="EA72" s="399">
        <v>0</v>
      </c>
      <c r="EB72" s="399">
        <v>0</v>
      </c>
      <c r="EC72" s="399">
        <v>-450401.26187868044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218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2360</v>
      </c>
      <c r="C73" s="399" t="s">
        <v>2328</v>
      </c>
      <c r="D73" s="399" t="s">
        <v>2335</v>
      </c>
      <c r="E73" s="399" t="s">
        <v>894</v>
      </c>
      <c r="F73" s="399" t="s">
        <v>1239</v>
      </c>
      <c r="G73" s="399" t="s">
        <v>1239</v>
      </c>
      <c r="H73" s="399" t="s">
        <v>1239</v>
      </c>
      <c r="I73" s="399" t="s">
        <v>1239</v>
      </c>
      <c r="J73" s="399" t="s">
        <v>2329</v>
      </c>
      <c r="K73" s="789">
        <v>44470</v>
      </c>
      <c r="L73" s="399">
        <v>0</v>
      </c>
      <c r="M73" s="399">
        <v>0</v>
      </c>
      <c r="N73" s="399">
        <v>-0.76600000000000001</v>
      </c>
      <c r="O73" s="399">
        <v>-0.76600000000000001</v>
      </c>
      <c r="P73" s="399">
        <v>-0.76600000000000001</v>
      </c>
      <c r="Q73" s="399">
        <v>-0.76600000000000001</v>
      </c>
      <c r="R73" s="399"/>
      <c r="S73" s="399">
        <v>521.86</v>
      </c>
      <c r="T73" s="399">
        <v>141.32</v>
      </c>
      <c r="U73" s="399"/>
      <c r="V73" s="399">
        <v>-507.99588000000006</v>
      </c>
      <c r="W73" s="399">
        <v>-507.99588000000006</v>
      </c>
      <c r="X73" s="399">
        <v>-397.04078000000004</v>
      </c>
      <c r="Y73" s="399">
        <v>0</v>
      </c>
      <c r="Z73" s="399">
        <v>-46.47861455003931</v>
      </c>
      <c r="AA73" s="399">
        <v>0</v>
      </c>
      <c r="AB73" s="399">
        <v>0</v>
      </c>
      <c r="AC73" s="399">
        <v>0</v>
      </c>
      <c r="AD73" s="399">
        <v>-82.386212503012558</v>
      </c>
      <c r="AE73" s="399">
        <v>-248.91230886125865</v>
      </c>
      <c r="AF73" s="399">
        <v>-108.25030040450129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-7.1866061393127669</v>
      </c>
      <c r="AM73" s="399"/>
      <c r="AN73" s="399">
        <v>-1.0623398795424244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-13.715151876423473</v>
      </c>
      <c r="BH73" s="399">
        <v>0</v>
      </c>
      <c r="BI73" s="399">
        <v>-3.33</v>
      </c>
      <c r="BJ73" s="399">
        <v>-15.38</v>
      </c>
      <c r="BK73" s="399">
        <v>-146.97</v>
      </c>
      <c r="BL73" s="399">
        <v>0</v>
      </c>
      <c r="BM73" s="399"/>
      <c r="BN73" s="399"/>
      <c r="BO73" s="399"/>
      <c r="BP73" s="399"/>
      <c r="BQ73" s="399"/>
      <c r="BR73" s="399">
        <v>-47.645200000000003</v>
      </c>
      <c r="BS73" s="399"/>
      <c r="BT73" s="399"/>
      <c r="BU73" s="399"/>
      <c r="BV73" s="399">
        <v>-121.96545228092477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-351.2201</v>
      </c>
      <c r="CJ73" s="399">
        <v>95.779840000000036</v>
      </c>
      <c r="CK73" s="399"/>
      <c r="CL73" s="399"/>
      <c r="CM73" s="399"/>
      <c r="CN73" s="399"/>
      <c r="CO73" s="399">
        <v>110.95510000000002</v>
      </c>
      <c r="CP73" s="399">
        <v>0</v>
      </c>
      <c r="CQ73" s="399">
        <v>31</v>
      </c>
      <c r="CR73" s="399">
        <v>3.4130948171940076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0.39238107394317012</v>
      </c>
      <c r="DA73" s="399">
        <v>0</v>
      </c>
      <c r="DB73" s="399">
        <v>0</v>
      </c>
      <c r="DC73" s="399">
        <v>0</v>
      </c>
      <c r="DD73" s="399">
        <v>0</v>
      </c>
      <c r="DE73" s="399">
        <v>0</v>
      </c>
      <c r="DF73" s="399">
        <v>0</v>
      </c>
      <c r="DG73" s="399">
        <v>0</v>
      </c>
      <c r="DH73" s="399">
        <v>0</v>
      </c>
      <c r="DI73" s="399">
        <v>2.6187753176694244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0.35910179031829781</v>
      </c>
      <c r="DP73" s="399">
        <v>4.2836635263105549E-2</v>
      </c>
      <c r="DQ73" s="399">
        <v>0</v>
      </c>
      <c r="DR73" s="399">
        <v>0</v>
      </c>
      <c r="DS73" s="399"/>
      <c r="DT73" s="399"/>
      <c r="DU73" s="399"/>
      <c r="DV73" s="399">
        <v>-248.91230886125865</v>
      </c>
      <c r="DW73" s="399">
        <v>0</v>
      </c>
      <c r="DX73" s="399">
        <v>0</v>
      </c>
      <c r="DY73" s="399">
        <v>110.95510000000002</v>
      </c>
      <c r="DZ73" s="399">
        <v>0</v>
      </c>
      <c r="EA73" s="399">
        <v>0</v>
      </c>
      <c r="EB73" s="399">
        <v>0</v>
      </c>
      <c r="EC73" s="399">
        <v>107.53494237467902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218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2361</v>
      </c>
      <c r="C74" s="399" t="s">
        <v>2328</v>
      </c>
      <c r="D74" s="399" t="s">
        <v>2335</v>
      </c>
      <c r="E74" s="399" t="s">
        <v>894</v>
      </c>
      <c r="F74" s="399" t="s">
        <v>1239</v>
      </c>
      <c r="G74" s="399" t="s">
        <v>1239</v>
      </c>
      <c r="H74" s="399" t="s">
        <v>1239</v>
      </c>
      <c r="I74" s="399" t="s">
        <v>1239</v>
      </c>
      <c r="J74" s="399" t="s">
        <v>2329</v>
      </c>
      <c r="K74" s="789">
        <v>44470</v>
      </c>
      <c r="L74" s="399">
        <v>0</v>
      </c>
      <c r="M74" s="399">
        <v>0</v>
      </c>
      <c r="N74" s="399">
        <v>225.51300000000001</v>
      </c>
      <c r="O74" s="399">
        <v>225.51300000000001</v>
      </c>
      <c r="P74" s="399">
        <v>225.51300000000001</v>
      </c>
      <c r="Q74" s="399">
        <v>225.51300000000001</v>
      </c>
      <c r="R74" s="399"/>
      <c r="S74" s="399">
        <v>521.86</v>
      </c>
      <c r="T74" s="399">
        <v>141.32</v>
      </c>
      <c r="U74" s="399"/>
      <c r="V74" s="399">
        <v>149555.71134000001</v>
      </c>
      <c r="W74" s="399">
        <v>149555.71134000001</v>
      </c>
      <c r="X74" s="399">
        <v>116890.15329</v>
      </c>
      <c r="Y74" s="399">
        <v>0</v>
      </c>
      <c r="Z74" s="399">
        <v>13683.461883842056</v>
      </c>
      <c r="AA74" s="399">
        <v>0</v>
      </c>
      <c r="AB74" s="399">
        <v>0</v>
      </c>
      <c r="AC74" s="399">
        <v>0</v>
      </c>
      <c r="AD74" s="399">
        <v>24254.780600772679</v>
      </c>
      <c r="AE74" s="399">
        <v>73280.628600821175</v>
      </c>
      <c r="AF74" s="399">
        <v>31869.255868303262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2115.7612405937862</v>
      </c>
      <c r="AM74" s="399"/>
      <c r="AN74" s="399">
        <v>312.75646639066679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4037.7872651538987</v>
      </c>
      <c r="BH74" s="399">
        <v>0</v>
      </c>
      <c r="BI74" s="399">
        <v>1006.24</v>
      </c>
      <c r="BJ74" s="399">
        <v>4650.34</v>
      </c>
      <c r="BK74" s="399">
        <v>88771.94</v>
      </c>
      <c r="BL74" s="399">
        <v>413</v>
      </c>
      <c r="BM74" s="399"/>
      <c r="BN74" s="399"/>
      <c r="BO74" s="399"/>
      <c r="BP74" s="399"/>
      <c r="BQ74" s="399"/>
      <c r="BR74" s="399">
        <v>14026.908600000002</v>
      </c>
      <c r="BS74" s="399"/>
      <c r="BT74" s="399"/>
      <c r="BU74" s="399"/>
      <c r="BV74" s="399">
        <v>35907.043133457162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102861.87629999999</v>
      </c>
      <c r="CJ74" s="399">
        <v>-28745.285370000012</v>
      </c>
      <c r="CK74" s="399"/>
      <c r="CL74" s="399"/>
      <c r="CM74" s="399"/>
      <c r="CN74" s="399"/>
      <c r="CO74" s="399">
        <v>-32665.558050000007</v>
      </c>
      <c r="CP74" s="399">
        <v>0</v>
      </c>
      <c r="CQ74" s="399">
        <v>31</v>
      </c>
      <c r="CR74" s="399">
        <v>-1004.8266990990378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-115.51832001063667</v>
      </c>
      <c r="DA74" s="399">
        <v>0</v>
      </c>
      <c r="DB74" s="399">
        <v>0</v>
      </c>
      <c r="DC74" s="399">
        <v>0</v>
      </c>
      <c r="DD74" s="399">
        <v>0</v>
      </c>
      <c r="DE74" s="399">
        <v>0</v>
      </c>
      <c r="DF74" s="399">
        <v>0</v>
      </c>
      <c r="DG74" s="399">
        <v>0</v>
      </c>
      <c r="DH74" s="399">
        <v>0</v>
      </c>
      <c r="DI74" s="399">
        <v>-770.97634231538359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-105.72078595306834</v>
      </c>
      <c r="DP74" s="399">
        <v>-12.611250819959196</v>
      </c>
      <c r="DQ74" s="399">
        <v>0</v>
      </c>
      <c r="DR74" s="399">
        <v>0</v>
      </c>
      <c r="DS74" s="399"/>
      <c r="DT74" s="399"/>
      <c r="DU74" s="399"/>
      <c r="DV74" s="399">
        <v>73280.628600821175</v>
      </c>
      <c r="DW74" s="399">
        <v>0</v>
      </c>
      <c r="DX74" s="399">
        <v>0</v>
      </c>
      <c r="DY74" s="399">
        <v>-32665.558050000007</v>
      </c>
      <c r="DZ74" s="399">
        <v>0</v>
      </c>
      <c r="EA74" s="399">
        <v>0</v>
      </c>
      <c r="EB74" s="399">
        <v>0</v>
      </c>
      <c r="EC74" s="399">
        <v>-31658.652036215382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218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2334</v>
      </c>
      <c r="D75" s="399" t="s">
        <v>533</v>
      </c>
      <c r="E75" s="399" t="s">
        <v>894</v>
      </c>
      <c r="F75" s="399" t="s">
        <v>1239</v>
      </c>
      <c r="G75" s="399" t="s">
        <v>1239</v>
      </c>
      <c r="H75" s="399" t="s">
        <v>1239</v>
      </c>
      <c r="I75" s="399" t="s">
        <v>893</v>
      </c>
      <c r="J75" s="399" t="s">
        <v>2329</v>
      </c>
      <c r="K75" s="789">
        <v>44470</v>
      </c>
      <c r="L75" s="399">
        <v>0</v>
      </c>
      <c r="M75" s="399">
        <v>0</v>
      </c>
      <c r="N75" s="399">
        <v>0.97499999999999998</v>
      </c>
      <c r="O75" s="399">
        <v>0.93600000000000005</v>
      </c>
      <c r="P75" s="399">
        <v>0.97499999999999998</v>
      </c>
      <c r="Q75" s="399">
        <v>0.93600000000000005</v>
      </c>
      <c r="R75" s="399"/>
      <c r="S75" s="399">
        <v>2741.05</v>
      </c>
      <c r="T75" s="399">
        <v>141.32</v>
      </c>
      <c r="U75" s="399"/>
      <c r="V75" s="399">
        <v>2810.3107500000001</v>
      </c>
      <c r="W75" s="399">
        <v>2810.3107500000001</v>
      </c>
      <c r="X75" s="399">
        <v>2012.2829999999999</v>
      </c>
      <c r="Y75" s="399">
        <v>0</v>
      </c>
      <c r="Z75" s="399">
        <v>51.46930129513165</v>
      </c>
      <c r="AA75" s="399">
        <v>0</v>
      </c>
      <c r="AB75" s="399">
        <v>0</v>
      </c>
      <c r="AC75" s="399">
        <v>0</v>
      </c>
      <c r="AD75" s="399">
        <v>773.72244214981356</v>
      </c>
      <c r="AE75" s="399">
        <v>1830.8635180701351</v>
      </c>
      <c r="AF75" s="399">
        <v>137.78595678118637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9.1474425402479742</v>
      </c>
      <c r="AM75" s="399"/>
      <c r="AN75" s="399">
        <v>0.58572385212240408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6.7401344642375154</v>
      </c>
      <c r="BH75" s="399">
        <v>0</v>
      </c>
      <c r="BI75" s="399">
        <v>0</v>
      </c>
      <c r="BJ75" s="399">
        <v>0</v>
      </c>
      <c r="BK75" s="399">
        <v>0</v>
      </c>
      <c r="BL75" s="399">
        <v>0</v>
      </c>
      <c r="BM75" s="399"/>
      <c r="BN75" s="399"/>
      <c r="BO75" s="399"/>
      <c r="BP75" s="399"/>
      <c r="BQ75" s="399"/>
      <c r="BR75" s="399">
        <v>80.491319999999845</v>
      </c>
      <c r="BS75" s="399"/>
      <c r="BT75" s="399"/>
      <c r="BU75" s="399"/>
      <c r="BV75" s="399">
        <v>144.52609124542388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1940.0471999999997</v>
      </c>
      <c r="CJ75" s="399">
        <v>-757.88112000000115</v>
      </c>
      <c r="CK75" s="399"/>
      <c r="CL75" s="399"/>
      <c r="CM75" s="399"/>
      <c r="CN75" s="399"/>
      <c r="CO75" s="399">
        <v>-798.0277500000002</v>
      </c>
      <c r="CP75" s="399">
        <v>0</v>
      </c>
      <c r="CQ75" s="399">
        <v>31</v>
      </c>
      <c r="CR75" s="399">
        <v>-7.0656785458822924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-3.6850103137554697</v>
      </c>
      <c r="DA75" s="399">
        <v>0</v>
      </c>
      <c r="DB75" s="399">
        <v>0</v>
      </c>
      <c r="DC75" s="399">
        <v>0</v>
      </c>
      <c r="DD75" s="399">
        <v>0</v>
      </c>
      <c r="DE75" s="399">
        <v>0</v>
      </c>
      <c r="DF75" s="399">
        <v>0</v>
      </c>
      <c r="DG75" s="399">
        <v>0</v>
      </c>
      <c r="DH75" s="399">
        <v>0</v>
      </c>
      <c r="DI75" s="399">
        <v>-2.8999688814793103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-0.45708126052263864</v>
      </c>
      <c r="DP75" s="399">
        <v>-2.3618090124865265E-2</v>
      </c>
      <c r="DQ75" s="399">
        <v>0</v>
      </c>
      <c r="DR75" s="399">
        <v>0</v>
      </c>
      <c r="DS75" s="399"/>
      <c r="DT75" s="399"/>
      <c r="DU75" s="399"/>
      <c r="DV75" s="399">
        <v>1830.8635180701351</v>
      </c>
      <c r="DW75" s="399">
        <v>0</v>
      </c>
      <c r="DX75" s="399">
        <v>0</v>
      </c>
      <c r="DY75" s="399">
        <v>-798.02775000000042</v>
      </c>
      <c r="DZ75" s="399">
        <v>0</v>
      </c>
      <c r="EA75" s="399">
        <v>0</v>
      </c>
      <c r="EB75" s="399">
        <v>0</v>
      </c>
      <c r="EC75" s="399">
        <v>-790.96852948849119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218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2361</v>
      </c>
      <c r="C76" s="399" t="s">
        <v>2334</v>
      </c>
      <c r="D76" s="399" t="s">
        <v>533</v>
      </c>
      <c r="E76" s="399" t="s">
        <v>894</v>
      </c>
      <c r="F76" s="399" t="s">
        <v>1239</v>
      </c>
      <c r="G76" s="399" t="s">
        <v>1239</v>
      </c>
      <c r="H76" s="399" t="s">
        <v>1239</v>
      </c>
      <c r="I76" s="399" t="s">
        <v>893</v>
      </c>
      <c r="J76" s="399" t="s">
        <v>2329</v>
      </c>
      <c r="K76" s="789">
        <v>44470</v>
      </c>
      <c r="L76" s="399">
        <v>0</v>
      </c>
      <c r="M76" s="399">
        <v>0</v>
      </c>
      <c r="N76" s="399">
        <v>2.0619999999999998</v>
      </c>
      <c r="O76" s="399">
        <v>1.9795199999999999</v>
      </c>
      <c r="P76" s="399">
        <v>2.0619999999999998</v>
      </c>
      <c r="Q76" s="399">
        <v>1.9795199999999999</v>
      </c>
      <c r="R76" s="399"/>
      <c r="S76" s="399">
        <v>2741.05</v>
      </c>
      <c r="T76" s="399">
        <v>141.32</v>
      </c>
      <c r="U76" s="399"/>
      <c r="V76" s="399">
        <v>5943.4469399999998</v>
      </c>
      <c r="W76" s="399">
        <v>5943.4469399999998</v>
      </c>
      <c r="X76" s="399">
        <v>4255.7205599999998</v>
      </c>
      <c r="Y76" s="399">
        <v>0</v>
      </c>
      <c r="Z76" s="399">
        <v>108.85097361083227</v>
      </c>
      <c r="AA76" s="399">
        <v>0</v>
      </c>
      <c r="AB76" s="399">
        <v>0</v>
      </c>
      <c r="AC76" s="399">
        <v>0</v>
      </c>
      <c r="AD76" s="399">
        <v>1636.3237699619647</v>
      </c>
      <c r="AE76" s="399">
        <v>3872.0416146262755</v>
      </c>
      <c r="AF76" s="399">
        <v>291.39963372595514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19.345668223580841</v>
      </c>
      <c r="AM76" s="399"/>
      <c r="AN76" s="399">
        <v>1.2387308544373306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14.254520272059237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>
        <v>170.22882239999976</v>
      </c>
      <c r="BS76" s="399"/>
      <c r="BT76" s="399"/>
      <c r="BU76" s="399"/>
      <c r="BV76" s="399">
        <v>305.65415399801435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4086.4823999999999</v>
      </c>
      <c r="CJ76" s="399">
        <v>-1619.256662400001</v>
      </c>
      <c r="CK76" s="399"/>
      <c r="CL76" s="399"/>
      <c r="CM76" s="399"/>
      <c r="CN76" s="399"/>
      <c r="CO76" s="399">
        <v>-1687.7263800000003</v>
      </c>
      <c r="CP76" s="399">
        <v>0</v>
      </c>
      <c r="CQ76" s="399">
        <v>31</v>
      </c>
      <c r="CR76" s="399">
        <v>-14.943004268317054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-7.7933243763732207</v>
      </c>
      <c r="DA76" s="399">
        <v>0</v>
      </c>
      <c r="DB76" s="399">
        <v>0</v>
      </c>
      <c r="DC76" s="399">
        <v>0</v>
      </c>
      <c r="DD76" s="399">
        <v>0</v>
      </c>
      <c r="DE76" s="399">
        <v>0</v>
      </c>
      <c r="DF76" s="399">
        <v>0</v>
      </c>
      <c r="DG76" s="399">
        <v>0</v>
      </c>
      <c r="DH76" s="399">
        <v>0</v>
      </c>
      <c r="DI76" s="399">
        <v>-6.1330623934465081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-0.96666826584377219</v>
      </c>
      <c r="DP76" s="399">
        <v>-4.9949232653817788E-2</v>
      </c>
      <c r="DQ76" s="399">
        <v>0</v>
      </c>
      <c r="DR76" s="399">
        <v>0</v>
      </c>
      <c r="DS76" s="399"/>
      <c r="DT76" s="399"/>
      <c r="DU76" s="399"/>
      <c r="DV76" s="399">
        <v>3872.0416146262755</v>
      </c>
      <c r="DW76" s="399">
        <v>0</v>
      </c>
      <c r="DX76" s="399">
        <v>0</v>
      </c>
      <c r="DY76" s="399">
        <v>-1687.7263800000005</v>
      </c>
      <c r="DZ76" s="399">
        <v>0</v>
      </c>
      <c r="EA76" s="399">
        <v>0</v>
      </c>
      <c r="EB76" s="399">
        <v>0</v>
      </c>
      <c r="EC76" s="399">
        <v>-1672.7970336464296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218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2334</v>
      </c>
      <c r="D77" s="399" t="s">
        <v>533</v>
      </c>
      <c r="E77" s="399" t="s">
        <v>894</v>
      </c>
      <c r="F77" s="399" t="s">
        <v>1239</v>
      </c>
      <c r="G77" s="399" t="s">
        <v>1239</v>
      </c>
      <c r="H77" s="399" t="s">
        <v>1239</v>
      </c>
      <c r="I77" s="399" t="s">
        <v>2326</v>
      </c>
      <c r="J77" s="399" t="s">
        <v>2329</v>
      </c>
      <c r="K77" s="789">
        <v>44470</v>
      </c>
      <c r="L77" s="399">
        <v>0</v>
      </c>
      <c r="M77" s="399">
        <v>0</v>
      </c>
      <c r="N77" s="399">
        <v>11.069000000000001</v>
      </c>
      <c r="O77" s="399">
        <v>10.626239999999999</v>
      </c>
      <c r="P77" s="399">
        <v>11.069000000000001</v>
      </c>
      <c r="Q77" s="399">
        <v>10.626239999999999</v>
      </c>
      <c r="R77" s="399"/>
      <c r="S77" s="399">
        <v>69.680000000000007</v>
      </c>
      <c r="T77" s="399">
        <v>141.32</v>
      </c>
      <c r="U77" s="399"/>
      <c r="V77" s="399">
        <v>2335.5590000000002</v>
      </c>
      <c r="W77" s="399">
        <v>2335.5590000000002</v>
      </c>
      <c r="X77" s="399">
        <v>2297.26026</v>
      </c>
      <c r="Y77" s="399">
        <v>0</v>
      </c>
      <c r="Z77" s="399">
        <v>584.32173952391008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1564.2592365240532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103.84927331077418</v>
      </c>
      <c r="AM77" s="399"/>
      <c r="AN77" s="399">
        <v>6.6496177632234792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76.519536804764172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>
        <v>91.890410400000334</v>
      </c>
      <c r="BS77" s="399"/>
      <c r="BT77" s="399"/>
      <c r="BU77" s="399"/>
      <c r="BV77" s="399">
        <v>1640.7787733288174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2206.1502</v>
      </c>
      <c r="CJ77" s="399">
        <v>-36.016439999999875</v>
      </c>
      <c r="CK77" s="399"/>
      <c r="CL77" s="399"/>
      <c r="CM77" s="399"/>
      <c r="CN77" s="399"/>
      <c r="CO77" s="399">
        <v>-38.298740000000087</v>
      </c>
      <c r="CP77" s="399">
        <v>0</v>
      </c>
      <c r="CQ77" s="399">
        <v>31</v>
      </c>
      <c r="CR77" s="399">
        <v>-38.380119652730173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0</v>
      </c>
      <c r="DD77" s="399">
        <v>0</v>
      </c>
      <c r="DE77" s="399">
        <v>0</v>
      </c>
      <c r="DF77" s="399">
        <v>0</v>
      </c>
      <c r="DG77" s="399">
        <v>0</v>
      </c>
      <c r="DH77" s="399">
        <v>0</v>
      </c>
      <c r="DI77" s="399">
        <v>-32.922826204199509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-5.1891615104872528</v>
      </c>
      <c r="DP77" s="399">
        <v>-0.26813193804321411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-38.298740000000066</v>
      </c>
      <c r="DZ77" s="399">
        <v>0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218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2361</v>
      </c>
      <c r="C78" s="399" t="s">
        <v>2334</v>
      </c>
      <c r="D78" s="399" t="s">
        <v>533</v>
      </c>
      <c r="E78" s="399" t="s">
        <v>894</v>
      </c>
      <c r="F78" s="399" t="s">
        <v>1239</v>
      </c>
      <c r="G78" s="399" t="s">
        <v>1239</v>
      </c>
      <c r="H78" s="399" t="s">
        <v>1239</v>
      </c>
      <c r="I78" s="399" t="s">
        <v>2326</v>
      </c>
      <c r="J78" s="399" t="s">
        <v>2329</v>
      </c>
      <c r="K78" s="789">
        <v>44470</v>
      </c>
      <c r="L78" s="399">
        <v>0</v>
      </c>
      <c r="M78" s="399">
        <v>0</v>
      </c>
      <c r="N78" s="399">
        <v>33.93</v>
      </c>
      <c r="O78" s="399">
        <v>32.572800000000001</v>
      </c>
      <c r="P78" s="399">
        <v>33.93</v>
      </c>
      <c r="Q78" s="399">
        <v>32.572800000000001</v>
      </c>
      <c r="R78" s="399"/>
      <c r="S78" s="399">
        <v>69.680000000000007</v>
      </c>
      <c r="T78" s="399">
        <v>141.32</v>
      </c>
      <c r="U78" s="399"/>
      <c r="V78" s="399">
        <v>7159.23</v>
      </c>
      <c r="W78" s="399">
        <v>7159.23</v>
      </c>
      <c r="X78" s="399">
        <v>7041.8321999999989</v>
      </c>
      <c r="Y78" s="399">
        <v>0</v>
      </c>
      <c r="Z78" s="399">
        <v>1791.1316850705816</v>
      </c>
      <c r="AA78" s="399">
        <v>0</v>
      </c>
      <c r="AB78" s="399">
        <v>0</v>
      </c>
      <c r="AC78" s="399">
        <v>0</v>
      </c>
      <c r="AD78" s="399">
        <v>0</v>
      </c>
      <c r="AE78" s="399">
        <v>0</v>
      </c>
      <c r="AF78" s="399">
        <v>4794.9512959852855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318.33100040062948</v>
      </c>
      <c r="AM78" s="399"/>
      <c r="AN78" s="399">
        <v>20.383190053859664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234.55667935546555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/>
      <c r="BR78" s="399">
        <v>281.67328799999979</v>
      </c>
      <c r="BS78" s="399"/>
      <c r="BT78" s="399"/>
      <c r="BU78" s="399"/>
      <c r="BV78" s="399">
        <v>5029.5079753407508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6759.5778000000009</v>
      </c>
      <c r="CJ78" s="399">
        <v>-113.3130000000001</v>
      </c>
      <c r="CK78" s="399"/>
      <c r="CL78" s="399"/>
      <c r="CM78" s="399"/>
      <c r="CN78" s="399"/>
      <c r="CO78" s="399">
        <v>-117.39780000000027</v>
      </c>
      <c r="CP78" s="399">
        <v>0</v>
      </c>
      <c r="CQ78" s="399">
        <v>31</v>
      </c>
      <c r="CR78" s="399">
        <v>-117.64725447801447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0</v>
      </c>
      <c r="DA78" s="399">
        <v>0</v>
      </c>
      <c r="DB78" s="399">
        <v>0</v>
      </c>
      <c r="DC78" s="399">
        <v>0</v>
      </c>
      <c r="DD78" s="399">
        <v>0</v>
      </c>
      <c r="DE78" s="399">
        <v>0</v>
      </c>
      <c r="DF78" s="399">
        <v>0</v>
      </c>
      <c r="DG78" s="399">
        <v>0</v>
      </c>
      <c r="DH78" s="399">
        <v>0</v>
      </c>
      <c r="DI78" s="399">
        <v>-100.91891707548029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-15.906427866187755</v>
      </c>
      <c r="DP78" s="399">
        <v>-0.82190953634531283</v>
      </c>
      <c r="DQ78" s="399">
        <v>0</v>
      </c>
      <c r="DR78" s="399">
        <v>0</v>
      </c>
      <c r="DS78" s="399"/>
      <c r="DT78" s="399"/>
      <c r="DU78" s="399"/>
      <c r="DV78" s="399">
        <v>0</v>
      </c>
      <c r="DW78" s="399">
        <v>0</v>
      </c>
      <c r="DX78" s="399">
        <v>0</v>
      </c>
      <c r="DY78" s="399">
        <v>-117.39780000000019</v>
      </c>
      <c r="DZ78" s="399">
        <v>0</v>
      </c>
      <c r="EA78" s="399">
        <v>0</v>
      </c>
      <c r="EB78" s="399">
        <v>0</v>
      </c>
      <c r="EC78" s="399">
        <v>0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218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2334</v>
      </c>
      <c r="D79" s="399" t="s">
        <v>533</v>
      </c>
      <c r="E79" s="399" t="s">
        <v>894</v>
      </c>
      <c r="F79" s="399" t="s">
        <v>1239</v>
      </c>
      <c r="G79" s="399" t="s">
        <v>1239</v>
      </c>
      <c r="H79" s="399" t="s">
        <v>1239</v>
      </c>
      <c r="I79" s="399" t="s">
        <v>1239</v>
      </c>
      <c r="J79" s="399" t="s">
        <v>2329</v>
      </c>
      <c r="K79" s="789">
        <v>44470</v>
      </c>
      <c r="L79" s="399">
        <v>90</v>
      </c>
      <c r="M79" s="399">
        <v>86.4</v>
      </c>
      <c r="N79" s="399">
        <v>0</v>
      </c>
      <c r="O79" s="399">
        <v>0</v>
      </c>
      <c r="P79" s="399">
        <v>0</v>
      </c>
      <c r="Q79" s="399">
        <v>0</v>
      </c>
      <c r="R79" s="399">
        <v>35.15</v>
      </c>
      <c r="S79" s="399"/>
      <c r="T79" s="399"/>
      <c r="U79" s="399">
        <v>3163.5</v>
      </c>
      <c r="V79" s="399"/>
      <c r="W79" s="399">
        <v>3163.5</v>
      </c>
      <c r="X79" s="399">
        <v>2309.4</v>
      </c>
      <c r="Y79" s="399">
        <v>0</v>
      </c>
      <c r="Z79" s="399">
        <v>0</v>
      </c>
      <c r="AA79" s="399">
        <v>0</v>
      </c>
      <c r="AB79" s="399">
        <v>0</v>
      </c>
      <c r="AC79" s="399">
        <v>0</v>
      </c>
      <c r="AD79" s="399">
        <v>1199.8235963272409</v>
      </c>
      <c r="AE79" s="399">
        <v>1963.6179499154971</v>
      </c>
      <c r="AF79" s="399"/>
      <c r="AG79" s="399"/>
      <c r="AH79" s="399"/>
      <c r="AI79" s="399">
        <v>0</v>
      </c>
      <c r="AJ79" s="399">
        <v>0</v>
      </c>
      <c r="AK79" s="399">
        <v>0</v>
      </c>
      <c r="AL79" s="399">
        <v>0</v>
      </c>
      <c r="AM79" s="399"/>
      <c r="AN79" s="399">
        <v>0</v>
      </c>
      <c r="AO79" s="399">
        <v>0</v>
      </c>
      <c r="AP79" s="399">
        <v>0</v>
      </c>
      <c r="AQ79" s="399">
        <v>0</v>
      </c>
      <c r="AR79" s="399">
        <v>0</v>
      </c>
      <c r="AS79" s="399"/>
      <c r="AT79" s="399"/>
      <c r="AU79" s="399">
        <v>0</v>
      </c>
      <c r="AV79" s="399">
        <v>0</v>
      </c>
      <c r="AW79" s="399">
        <v>0</v>
      </c>
      <c r="AX79" s="399"/>
      <c r="AY79" s="399"/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/>
      <c r="BG79" s="399">
        <v>0</v>
      </c>
      <c r="BH79" s="399">
        <v>0</v>
      </c>
      <c r="BI79" s="399">
        <v>56.19</v>
      </c>
      <c r="BJ79" s="399">
        <v>259.33999999999997</v>
      </c>
      <c r="BK79" s="399">
        <v>2472.98</v>
      </c>
      <c r="BL79" s="399">
        <v>1</v>
      </c>
      <c r="BM79" s="399"/>
      <c r="BN79" s="399"/>
      <c r="BO79" s="399"/>
      <c r="BP79" s="399"/>
      <c r="BQ79" s="399"/>
      <c r="BR79" s="399">
        <v>92.375999999999848</v>
      </c>
      <c r="BS79" s="399"/>
      <c r="BT79" s="399"/>
      <c r="BU79" s="399"/>
      <c r="BV79" s="399">
        <v>0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2217.0240000000003</v>
      </c>
      <c r="CJ79" s="399">
        <v>-819.96600000000035</v>
      </c>
      <c r="CK79" s="399"/>
      <c r="CL79" s="399"/>
      <c r="CM79" s="399"/>
      <c r="CN79" s="399"/>
      <c r="CO79" s="399">
        <v>-854.09999999999991</v>
      </c>
      <c r="CP79" s="399">
        <v>0</v>
      </c>
      <c r="CQ79" s="399">
        <v>31</v>
      </c>
      <c r="CR79" s="399">
        <v>-5.7144036236848024</v>
      </c>
      <c r="CS79" s="399">
        <v>0</v>
      </c>
      <c r="CT79" s="399">
        <v>0</v>
      </c>
      <c r="CU79" s="399">
        <v>0</v>
      </c>
      <c r="CV79" s="399">
        <v>0</v>
      </c>
      <c r="CW79" s="399"/>
      <c r="CX79" s="399"/>
      <c r="CY79" s="399"/>
      <c r="CZ79" s="399">
        <v>-5.7144036236848024</v>
      </c>
      <c r="DA79" s="399">
        <v>0</v>
      </c>
      <c r="DB79" s="399">
        <v>0</v>
      </c>
      <c r="DC79" s="399"/>
      <c r="DD79" s="399"/>
      <c r="DE79" s="399">
        <v>0</v>
      </c>
      <c r="DF79" s="399">
        <v>0</v>
      </c>
      <c r="DG79" s="399">
        <v>0</v>
      </c>
      <c r="DH79" s="399">
        <v>0</v>
      </c>
      <c r="DI79" s="399">
        <v>0</v>
      </c>
      <c r="DJ79" s="399"/>
      <c r="DK79" s="399">
        <v>0</v>
      </c>
      <c r="DL79" s="399">
        <v>0</v>
      </c>
      <c r="DM79" s="399"/>
      <c r="DN79" s="399">
        <v>0</v>
      </c>
      <c r="DO79" s="399">
        <v>0</v>
      </c>
      <c r="DP79" s="399">
        <v>0</v>
      </c>
      <c r="DQ79" s="399">
        <v>0</v>
      </c>
      <c r="DR79" s="399">
        <v>0</v>
      </c>
      <c r="DS79" s="399"/>
      <c r="DT79" s="399"/>
      <c r="DU79" s="399">
        <v>1963.6179499154971</v>
      </c>
      <c r="DV79" s="399"/>
      <c r="DW79" s="399">
        <v>0</v>
      </c>
      <c r="DX79" s="399">
        <v>0</v>
      </c>
      <c r="DY79" s="399">
        <v>-854.09999999999991</v>
      </c>
      <c r="DZ79" s="399"/>
      <c r="EA79" s="399">
        <v>0</v>
      </c>
      <c r="EB79" s="399"/>
      <c r="EC79" s="399">
        <v>-848.32101737381709</v>
      </c>
      <c r="ED79" s="399"/>
      <c r="EE79" s="399">
        <v>0</v>
      </c>
      <c r="EF79" s="399">
        <v>0</v>
      </c>
      <c r="EG79" s="399"/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/>
      <c r="EN79" s="399"/>
      <c r="EO79" s="399">
        <v>0</v>
      </c>
      <c r="EP79" s="399">
        <v>0</v>
      </c>
      <c r="EQ79" s="399"/>
      <c r="ER79" s="399">
        <v>0</v>
      </c>
      <c r="ES79" s="399"/>
      <c r="ET79" s="399">
        <v>0</v>
      </c>
      <c r="EU79" s="399"/>
      <c r="EV79" s="399">
        <v>218</v>
      </c>
      <c r="EW79" s="399"/>
      <c r="EX79" s="399"/>
      <c r="EY79" s="399"/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2361</v>
      </c>
      <c r="C80" s="399" t="s">
        <v>2334</v>
      </c>
      <c r="D80" s="399" t="s">
        <v>533</v>
      </c>
      <c r="E80" s="399" t="s">
        <v>894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2329</v>
      </c>
      <c r="K80" s="789">
        <v>44470</v>
      </c>
      <c r="L80" s="399">
        <v>254</v>
      </c>
      <c r="M80" s="399">
        <v>243.84</v>
      </c>
      <c r="N80" s="399">
        <v>0</v>
      </c>
      <c r="O80" s="399">
        <v>0</v>
      </c>
      <c r="P80" s="399">
        <v>0</v>
      </c>
      <c r="Q80" s="399">
        <v>0</v>
      </c>
      <c r="R80" s="399">
        <v>35.15</v>
      </c>
      <c r="S80" s="399"/>
      <c r="T80" s="399"/>
      <c r="U80" s="399">
        <v>8928.1</v>
      </c>
      <c r="V80" s="399"/>
      <c r="W80" s="399">
        <v>8928.1</v>
      </c>
      <c r="X80" s="399">
        <v>6517.64</v>
      </c>
      <c r="Y80" s="399">
        <v>0</v>
      </c>
      <c r="Z80" s="399">
        <v>0</v>
      </c>
      <c r="AA80" s="399">
        <v>0</v>
      </c>
      <c r="AB80" s="399">
        <v>0</v>
      </c>
      <c r="AC80" s="399">
        <v>0</v>
      </c>
      <c r="AD80" s="399">
        <v>3386.1688163013246</v>
      </c>
      <c r="AE80" s="399">
        <v>5541.766214205958</v>
      </c>
      <c r="AF80" s="399"/>
      <c r="AG80" s="399"/>
      <c r="AH80" s="399"/>
      <c r="AI80" s="399">
        <v>0</v>
      </c>
      <c r="AJ80" s="399">
        <v>0</v>
      </c>
      <c r="AK80" s="399">
        <v>0</v>
      </c>
      <c r="AL80" s="399">
        <v>0</v>
      </c>
      <c r="AM80" s="399"/>
      <c r="AN80" s="399">
        <v>0</v>
      </c>
      <c r="AO80" s="399">
        <v>0</v>
      </c>
      <c r="AP80" s="399">
        <v>0</v>
      </c>
      <c r="AQ80" s="399">
        <v>0</v>
      </c>
      <c r="AR80" s="399">
        <v>0</v>
      </c>
      <c r="AS80" s="399"/>
      <c r="AT80" s="399"/>
      <c r="AU80" s="399">
        <v>0</v>
      </c>
      <c r="AV80" s="399">
        <v>0</v>
      </c>
      <c r="AW80" s="399">
        <v>0</v>
      </c>
      <c r="AX80" s="399"/>
      <c r="AY80" s="399"/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/>
      <c r="BG80" s="399">
        <v>0</v>
      </c>
      <c r="BH80" s="399">
        <v>0</v>
      </c>
      <c r="BI80" s="399">
        <v>164.71</v>
      </c>
      <c r="BJ80" s="399">
        <v>760.22</v>
      </c>
      <c r="BK80" s="399">
        <v>9674.91</v>
      </c>
      <c r="BL80" s="399">
        <v>2</v>
      </c>
      <c r="BM80" s="399"/>
      <c r="BN80" s="399"/>
      <c r="BO80" s="399"/>
      <c r="BP80" s="399"/>
      <c r="BQ80" s="399"/>
      <c r="BR80" s="399">
        <v>260.70559999999989</v>
      </c>
      <c r="BS80" s="399"/>
      <c r="BT80" s="399"/>
      <c r="BU80" s="399"/>
      <c r="BV80" s="399">
        <v>0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6256.9344000000001</v>
      </c>
      <c r="CJ80" s="399">
        <v>-2314.0716000000011</v>
      </c>
      <c r="CK80" s="399"/>
      <c r="CL80" s="399"/>
      <c r="CM80" s="399"/>
      <c r="CN80" s="399"/>
      <c r="CO80" s="399">
        <v>-2410.4599999999996</v>
      </c>
      <c r="CP80" s="399">
        <v>0</v>
      </c>
      <c r="CQ80" s="399">
        <v>31</v>
      </c>
      <c r="CR80" s="399">
        <v>-16.127316893510852</v>
      </c>
      <c r="CS80" s="399">
        <v>0</v>
      </c>
      <c r="CT80" s="399">
        <v>0</v>
      </c>
      <c r="CU80" s="399">
        <v>0</v>
      </c>
      <c r="CV80" s="399">
        <v>0</v>
      </c>
      <c r="CW80" s="399"/>
      <c r="CX80" s="399"/>
      <c r="CY80" s="399"/>
      <c r="CZ80" s="399">
        <v>-16.127316893510852</v>
      </c>
      <c r="DA80" s="399">
        <v>0</v>
      </c>
      <c r="DB80" s="399">
        <v>0</v>
      </c>
      <c r="DC80" s="399"/>
      <c r="DD80" s="399"/>
      <c r="DE80" s="399">
        <v>0</v>
      </c>
      <c r="DF80" s="399">
        <v>0</v>
      </c>
      <c r="DG80" s="399">
        <v>0</v>
      </c>
      <c r="DH80" s="399">
        <v>0</v>
      </c>
      <c r="DI80" s="399">
        <v>0</v>
      </c>
      <c r="DJ80" s="399"/>
      <c r="DK80" s="399">
        <v>0</v>
      </c>
      <c r="DL80" s="399">
        <v>0</v>
      </c>
      <c r="DM80" s="399"/>
      <c r="DN80" s="399">
        <v>0</v>
      </c>
      <c r="DO80" s="399">
        <v>0</v>
      </c>
      <c r="DP80" s="399">
        <v>0</v>
      </c>
      <c r="DQ80" s="399">
        <v>0</v>
      </c>
      <c r="DR80" s="399">
        <v>0</v>
      </c>
      <c r="DS80" s="399"/>
      <c r="DT80" s="399"/>
      <c r="DU80" s="399">
        <v>5541.766214205958</v>
      </c>
      <c r="DV80" s="399"/>
      <c r="DW80" s="399">
        <v>0</v>
      </c>
      <c r="DX80" s="399">
        <v>0</v>
      </c>
      <c r="DY80" s="399">
        <v>-2410.46</v>
      </c>
      <c r="DZ80" s="399"/>
      <c r="EA80" s="399">
        <v>0</v>
      </c>
      <c r="EB80" s="399"/>
      <c r="EC80" s="399">
        <v>-2394.15042681055</v>
      </c>
      <c r="ED80" s="399"/>
      <c r="EE80" s="399">
        <v>0</v>
      </c>
      <c r="EF80" s="399">
        <v>0</v>
      </c>
      <c r="EG80" s="399"/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/>
      <c r="EN80" s="399"/>
      <c r="EO80" s="399">
        <v>0</v>
      </c>
      <c r="EP80" s="399">
        <v>0</v>
      </c>
      <c r="EQ80" s="399"/>
      <c r="ER80" s="399">
        <v>0</v>
      </c>
      <c r="ES80" s="399"/>
      <c r="ET80" s="399">
        <v>0</v>
      </c>
      <c r="EU80" s="399"/>
      <c r="EV80" s="399">
        <v>218</v>
      </c>
      <c r="EW80" s="399"/>
      <c r="EX80" s="399"/>
      <c r="EY80" s="399"/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2328</v>
      </c>
      <c r="D81" s="399" t="s">
        <v>1826</v>
      </c>
      <c r="E81" s="399" t="s">
        <v>2336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2329</v>
      </c>
      <c r="K81" s="789">
        <v>44470</v>
      </c>
      <c r="L81" s="399">
        <v>0</v>
      </c>
      <c r="M81" s="399">
        <v>0</v>
      </c>
      <c r="N81" s="399">
        <v>105.723</v>
      </c>
      <c r="O81" s="399">
        <v>105.723</v>
      </c>
      <c r="P81" s="399">
        <v>105.723</v>
      </c>
      <c r="Q81" s="399">
        <v>105.723</v>
      </c>
      <c r="R81" s="399"/>
      <c r="S81" s="399">
        <v>521.86</v>
      </c>
      <c r="T81" s="399">
        <v>141.32</v>
      </c>
      <c r="U81" s="399"/>
      <c r="V81" s="399">
        <v>70113.379140000005</v>
      </c>
      <c r="W81" s="399">
        <v>70113.379140000005</v>
      </c>
      <c r="X81" s="399">
        <v>54799.402589999998</v>
      </c>
      <c r="Y81" s="399">
        <v>0</v>
      </c>
      <c r="Z81" s="399">
        <v>6414.9589635428274</v>
      </c>
      <c r="AA81" s="399">
        <v>0</v>
      </c>
      <c r="AB81" s="399">
        <v>0</v>
      </c>
      <c r="AC81" s="399">
        <v>0</v>
      </c>
      <c r="AD81" s="399">
        <v>11370.910632449082</v>
      </c>
      <c r="AE81" s="399">
        <v>34354.772884776561</v>
      </c>
      <c r="AF81" s="399">
        <v>14940.661239771658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991.89237711039641</v>
      </c>
      <c r="AM81" s="399"/>
      <c r="AN81" s="399">
        <v>146.62370637710671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1892.9595324166041</v>
      </c>
      <c r="BH81" s="399">
        <v>0</v>
      </c>
      <c r="BI81" s="399">
        <v>468.33</v>
      </c>
      <c r="BJ81" s="399">
        <v>2164.35</v>
      </c>
      <c r="BK81" s="399">
        <v>20019.32</v>
      </c>
      <c r="BL81" s="399">
        <v>162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16833.620772188264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54797.847599999994</v>
      </c>
      <c r="CJ81" s="399">
        <v>-15315.56154000001</v>
      </c>
      <c r="CK81" s="399"/>
      <c r="CL81" s="399"/>
      <c r="CM81" s="399"/>
      <c r="CN81" s="399"/>
      <c r="CO81" s="399">
        <v>-15313.976550000003</v>
      </c>
      <c r="CP81" s="399">
        <v>0</v>
      </c>
      <c r="CQ81" s="399">
        <v>31</v>
      </c>
      <c r="CR81" s="399">
        <v>-471.0739208331579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-54.156271906651455</v>
      </c>
      <c r="DA81" s="399">
        <v>0</v>
      </c>
      <c r="DB81" s="399">
        <v>0</v>
      </c>
      <c r="DC81" s="399">
        <v>0</v>
      </c>
      <c r="DD81" s="399">
        <v>0</v>
      </c>
      <c r="DE81" s="399">
        <v>0</v>
      </c>
      <c r="DF81" s="399">
        <v>0</v>
      </c>
      <c r="DG81" s="399">
        <v>0</v>
      </c>
      <c r="DH81" s="399">
        <v>0</v>
      </c>
      <c r="DI81" s="399">
        <v>-361.44227533937919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-49.563079083317689</v>
      </c>
      <c r="DP81" s="399">
        <v>-5.9122945038137402</v>
      </c>
      <c r="DQ81" s="399">
        <v>0</v>
      </c>
      <c r="DR81" s="399">
        <v>0</v>
      </c>
      <c r="DS81" s="399"/>
      <c r="DT81" s="399"/>
      <c r="DU81" s="399"/>
      <c r="DV81" s="399">
        <v>34354.772884776561</v>
      </c>
      <c r="DW81" s="399">
        <v>0</v>
      </c>
      <c r="DX81" s="399">
        <v>0</v>
      </c>
      <c r="DY81" s="399">
        <v>-15313.976549999999</v>
      </c>
      <c r="DZ81" s="399">
        <v>0</v>
      </c>
      <c r="EA81" s="399">
        <v>0</v>
      </c>
      <c r="EB81" s="399">
        <v>0</v>
      </c>
      <c r="EC81" s="399">
        <v>-14841.927823339669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218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2328</v>
      </c>
      <c r="D82" s="399" t="s">
        <v>2337</v>
      </c>
      <c r="E82" s="399" t="s">
        <v>2338</v>
      </c>
      <c r="F82" s="399" t="s">
        <v>2339</v>
      </c>
      <c r="G82" s="399" t="s">
        <v>1239</v>
      </c>
      <c r="H82" s="399" t="s">
        <v>1239</v>
      </c>
      <c r="I82" s="399" t="s">
        <v>1239</v>
      </c>
      <c r="J82" s="399" t="s">
        <v>2329</v>
      </c>
      <c r="K82" s="789">
        <v>44470</v>
      </c>
      <c r="L82" s="399">
        <v>0</v>
      </c>
      <c r="M82" s="399">
        <v>0</v>
      </c>
      <c r="N82" s="399">
        <v>78.504999999999995</v>
      </c>
      <c r="O82" s="399">
        <v>78.504999999999995</v>
      </c>
      <c r="P82" s="399">
        <v>78.504999999999995</v>
      </c>
      <c r="Q82" s="399">
        <v>78.504999999999995</v>
      </c>
      <c r="R82" s="399"/>
      <c r="S82" s="399">
        <v>287.02</v>
      </c>
      <c r="T82" s="399">
        <v>77.73</v>
      </c>
      <c r="U82" s="399"/>
      <c r="V82" s="399">
        <v>28634.69875</v>
      </c>
      <c r="W82" s="399">
        <v>28634.69875</v>
      </c>
      <c r="X82" s="399">
        <v>22380.990450000001</v>
      </c>
      <c r="Y82" s="399">
        <v>0</v>
      </c>
      <c r="Z82" s="399">
        <v>2619.8981715247478</v>
      </c>
      <c r="AA82" s="399">
        <v>0</v>
      </c>
      <c r="AB82" s="399">
        <v>0</v>
      </c>
      <c r="AC82" s="399">
        <v>0</v>
      </c>
      <c r="AD82" s="399">
        <v>4643.9311839451202</v>
      </c>
      <c r="AE82" s="399">
        <v>14030.644182681737</v>
      </c>
      <c r="AF82" s="399">
        <v>6101.833431188591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405.09332014583828</v>
      </c>
      <c r="AM82" s="399"/>
      <c r="AN82" s="399">
        <v>59.881782942445255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773.09321009431153</v>
      </c>
      <c r="BH82" s="399">
        <v>0</v>
      </c>
      <c r="BI82" s="399">
        <v>226.16</v>
      </c>
      <c r="BJ82" s="399">
        <v>1043.95</v>
      </c>
      <c r="BK82" s="399">
        <v>11599.54</v>
      </c>
      <c r="BL82" s="399">
        <v>7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6874.9266412829029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22382.415900000004</v>
      </c>
      <c r="CJ82" s="399">
        <v>-6252.3128499999912</v>
      </c>
      <c r="CK82" s="399"/>
      <c r="CL82" s="399"/>
      <c r="CM82" s="399"/>
      <c r="CN82" s="399"/>
      <c r="CO82" s="399">
        <v>-6253.7082999999975</v>
      </c>
      <c r="CP82" s="399">
        <v>0</v>
      </c>
      <c r="CQ82" s="399">
        <v>31</v>
      </c>
      <c r="CR82" s="399">
        <v>-192.38871376384668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-22.117665685981592</v>
      </c>
      <c r="DA82" s="399">
        <v>0</v>
      </c>
      <c r="DB82" s="399">
        <v>0</v>
      </c>
      <c r="DC82" s="399">
        <v>0</v>
      </c>
      <c r="DD82" s="399">
        <v>0</v>
      </c>
      <c r="DE82" s="399">
        <v>0</v>
      </c>
      <c r="DF82" s="399">
        <v>0</v>
      </c>
      <c r="DG82" s="399">
        <v>0</v>
      </c>
      <c r="DH82" s="399">
        <v>0</v>
      </c>
      <c r="DI82" s="399">
        <v>-147.61465531657723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-20.241785022084002</v>
      </c>
      <c r="DP82" s="399">
        <v>-2.414607739206005</v>
      </c>
      <c r="DQ82" s="399">
        <v>0</v>
      </c>
      <c r="DR82" s="399">
        <v>0</v>
      </c>
      <c r="DS82" s="399"/>
      <c r="DT82" s="399"/>
      <c r="DU82" s="399"/>
      <c r="DV82" s="399">
        <v>14030.644182681737</v>
      </c>
      <c r="DW82" s="399">
        <v>0</v>
      </c>
      <c r="DX82" s="399">
        <v>0</v>
      </c>
      <c r="DY82" s="399">
        <v>-6253.7082999999984</v>
      </c>
      <c r="DZ82" s="399">
        <v>0</v>
      </c>
      <c r="EA82" s="399">
        <v>0</v>
      </c>
      <c r="EB82" s="399">
        <v>0</v>
      </c>
      <c r="EC82" s="399">
        <v>-6061.5102586400981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218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956</v>
      </c>
      <c r="C83" s="399" t="s">
        <v>2328</v>
      </c>
      <c r="D83" s="399" t="s">
        <v>1826</v>
      </c>
      <c r="E83" s="399" t="s">
        <v>921</v>
      </c>
      <c r="F83" s="399" t="s">
        <v>2362</v>
      </c>
      <c r="G83" s="399" t="s">
        <v>1239</v>
      </c>
      <c r="H83" s="399" t="s">
        <v>1239</v>
      </c>
      <c r="I83" s="399" t="s">
        <v>1239</v>
      </c>
      <c r="J83" s="399" t="s">
        <v>2329</v>
      </c>
      <c r="K83" s="789">
        <v>44470</v>
      </c>
      <c r="L83" s="399">
        <v>0</v>
      </c>
      <c r="M83" s="399">
        <v>0</v>
      </c>
      <c r="N83" s="399">
        <v>44.110999999999997</v>
      </c>
      <c r="O83" s="399">
        <v>41.46434</v>
      </c>
      <c r="P83" s="399">
        <v>44.110999999999997</v>
      </c>
      <c r="Q83" s="399">
        <v>41.46434</v>
      </c>
      <c r="R83" s="399"/>
      <c r="S83" s="399">
        <v>521.86</v>
      </c>
      <c r="T83" s="399">
        <v>141.32</v>
      </c>
      <c r="U83" s="399"/>
      <c r="V83" s="399">
        <v>29253.532979999996</v>
      </c>
      <c r="W83" s="399">
        <v>29253.532979999996</v>
      </c>
      <c r="X83" s="399">
        <v>22864.054629999999</v>
      </c>
      <c r="Y83" s="399">
        <v>0</v>
      </c>
      <c r="Z83" s="399">
        <v>2676.5250214318326</v>
      </c>
      <c r="AA83" s="399">
        <v>0</v>
      </c>
      <c r="AB83" s="399">
        <v>0</v>
      </c>
      <c r="AC83" s="399">
        <v>0</v>
      </c>
      <c r="AD83" s="399">
        <v>4744.3057698699567</v>
      </c>
      <c r="AE83" s="399">
        <v>14333.904511983003</v>
      </c>
      <c r="AF83" s="399">
        <v>6233.7193226409345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413.84906450551625</v>
      </c>
      <c r="AM83" s="399"/>
      <c r="AN83" s="399">
        <v>61.176076274798803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789.80295616307535</v>
      </c>
      <c r="BH83" s="399">
        <v>0</v>
      </c>
      <c r="BI83" s="399">
        <v>193.39</v>
      </c>
      <c r="BJ83" s="399">
        <v>892.97</v>
      </c>
      <c r="BK83" s="399">
        <v>9922.15</v>
      </c>
      <c r="BL83" s="399">
        <v>19</v>
      </c>
      <c r="BM83" s="399"/>
      <c r="BN83" s="399"/>
      <c r="BO83" s="399"/>
      <c r="BP83" s="399"/>
      <c r="BQ83" s="399">
        <v>1371.8432777999983</v>
      </c>
      <c r="BR83" s="399"/>
      <c r="BS83" s="399"/>
      <c r="BT83" s="399"/>
      <c r="BU83" s="399"/>
      <c r="BV83" s="399">
        <v>7023.5222788040101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21489.961800000001</v>
      </c>
      <c r="CJ83" s="399">
        <v>-6008.389201199996</v>
      </c>
      <c r="CK83" s="399"/>
      <c r="CL83" s="399"/>
      <c r="CM83" s="399"/>
      <c r="CN83" s="399"/>
      <c r="CO83" s="399">
        <v>-6389.4783500000003</v>
      </c>
      <c r="CP83" s="399">
        <v>0</v>
      </c>
      <c r="CQ83" s="399">
        <v>31</v>
      </c>
      <c r="CR83" s="399">
        <v>-196.54703065436843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-22.595720042699213</v>
      </c>
      <c r="DA83" s="399">
        <v>0</v>
      </c>
      <c r="DB83" s="399">
        <v>0</v>
      </c>
      <c r="DC83" s="399">
        <v>0</v>
      </c>
      <c r="DD83" s="399">
        <v>0</v>
      </c>
      <c r="DE83" s="399">
        <v>0</v>
      </c>
      <c r="DF83" s="399">
        <v>0</v>
      </c>
      <c r="DG83" s="399">
        <v>0</v>
      </c>
      <c r="DH83" s="399">
        <v>0</v>
      </c>
      <c r="DI83" s="399">
        <v>-150.80521937038611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-20.679293828629795</v>
      </c>
      <c r="DP83" s="399">
        <v>-2.4667974126512462</v>
      </c>
      <c r="DQ83" s="399">
        <v>0</v>
      </c>
      <c r="DR83" s="399">
        <v>0</v>
      </c>
      <c r="DS83" s="399"/>
      <c r="DT83" s="399"/>
      <c r="DU83" s="399"/>
      <c r="DV83" s="399">
        <v>14333.904511983003</v>
      </c>
      <c r="DW83" s="399">
        <v>0</v>
      </c>
      <c r="DX83" s="399">
        <v>0</v>
      </c>
      <c r="DY83" s="399">
        <v>-6389.4783500000012</v>
      </c>
      <c r="DZ83" s="399">
        <v>0</v>
      </c>
      <c r="EA83" s="399">
        <v>0</v>
      </c>
      <c r="EB83" s="399">
        <v>0</v>
      </c>
      <c r="EC83" s="399">
        <v>-6192.5245993335066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218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956</v>
      </c>
      <c r="C84" s="399" t="s">
        <v>2398</v>
      </c>
      <c r="D84" s="399" t="s">
        <v>533</v>
      </c>
      <c r="E84" s="399" t="s">
        <v>921</v>
      </c>
      <c r="F84" s="399" t="s">
        <v>2362</v>
      </c>
      <c r="G84" s="399" t="s">
        <v>1239</v>
      </c>
      <c r="H84" s="399" t="s">
        <v>1239</v>
      </c>
      <c r="I84" s="399" t="s">
        <v>893</v>
      </c>
      <c r="J84" s="399" t="s">
        <v>2329</v>
      </c>
      <c r="K84" s="789">
        <v>44470</v>
      </c>
      <c r="L84" s="399">
        <v>503</v>
      </c>
      <c r="M84" s="399">
        <v>472.82</v>
      </c>
      <c r="N84" s="399">
        <v>22.405000000000001</v>
      </c>
      <c r="O84" s="399">
        <v>21.060700000000001</v>
      </c>
      <c r="P84" s="399">
        <v>22.405000000000001</v>
      </c>
      <c r="Q84" s="399">
        <v>21.060700000000001</v>
      </c>
      <c r="R84" s="399">
        <v>111.06</v>
      </c>
      <c r="S84" s="399">
        <v>69.680000000000007</v>
      </c>
      <c r="T84" s="399">
        <v>141.32</v>
      </c>
      <c r="U84" s="399">
        <v>55863.18</v>
      </c>
      <c r="V84" s="399">
        <v>4727.4549999999999</v>
      </c>
      <c r="W84" s="399">
        <v>60590.634999999995</v>
      </c>
      <c r="X84" s="399">
        <v>43466.443699999996</v>
      </c>
      <c r="Y84" s="399">
        <v>0</v>
      </c>
      <c r="Z84" s="399">
        <v>1182.7381492486409</v>
      </c>
      <c r="AA84" s="399">
        <v>0</v>
      </c>
      <c r="AB84" s="399">
        <v>0</v>
      </c>
      <c r="AC84" s="399">
        <v>0</v>
      </c>
      <c r="AD84" s="399">
        <v>16590.530481468471</v>
      </c>
      <c r="AE84" s="399">
        <v>39273.865516045444</v>
      </c>
      <c r="AF84" s="399">
        <v>3166.2506273666468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210.20353857872396</v>
      </c>
      <c r="AM84" s="399"/>
      <c r="AN84" s="399">
        <v>13.459633750566631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154.8848335089657</v>
      </c>
      <c r="BH84" s="399">
        <v>0</v>
      </c>
      <c r="BI84" s="399">
        <v>0</v>
      </c>
      <c r="BJ84" s="399">
        <v>0</v>
      </c>
      <c r="BK84" s="399">
        <v>0</v>
      </c>
      <c r="BL84" s="399">
        <v>0</v>
      </c>
      <c r="BM84" s="399"/>
      <c r="BN84" s="399"/>
      <c r="BO84" s="399"/>
      <c r="BP84" s="399"/>
      <c r="BQ84" s="399">
        <v>2607.9866220000008</v>
      </c>
      <c r="BR84" s="399"/>
      <c r="BS84" s="399"/>
      <c r="BT84" s="399"/>
      <c r="BU84" s="399"/>
      <c r="BV84" s="399">
        <v>3321.1354608756124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40858.311800000003</v>
      </c>
      <c r="CJ84" s="399">
        <v>-16096.915099999998</v>
      </c>
      <c r="CK84" s="399"/>
      <c r="CL84" s="399"/>
      <c r="CM84" s="399"/>
      <c r="CN84" s="399"/>
      <c r="CO84" s="399">
        <v>-17124.191300000002</v>
      </c>
      <c r="CP84" s="399">
        <v>0</v>
      </c>
      <c r="CQ84" s="399">
        <v>31</v>
      </c>
      <c r="CR84" s="399">
        <v>-156.70179411046047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-79.015771812199091</v>
      </c>
      <c r="DA84" s="399">
        <v>0</v>
      </c>
      <c r="DB84" s="399">
        <v>0</v>
      </c>
      <c r="DC84" s="399">
        <v>0</v>
      </c>
      <c r="DD84" s="399">
        <v>0</v>
      </c>
      <c r="DE84" s="399">
        <v>0</v>
      </c>
      <c r="DF84" s="399">
        <v>0</v>
      </c>
      <c r="DG84" s="399">
        <v>0</v>
      </c>
      <c r="DH84" s="399">
        <v>0</v>
      </c>
      <c r="DI84" s="399">
        <v>-66.639797732865873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-10.503492966163776</v>
      </c>
      <c r="DP84" s="399">
        <v>-0.54273159922831482</v>
      </c>
      <c r="DQ84" s="399">
        <v>0</v>
      </c>
      <c r="DR84" s="399">
        <v>0</v>
      </c>
      <c r="DS84" s="399"/>
      <c r="DT84" s="399"/>
      <c r="DU84" s="399">
        <v>39273.865516045444</v>
      </c>
      <c r="DV84" s="399">
        <v>0</v>
      </c>
      <c r="DW84" s="399">
        <v>0</v>
      </c>
      <c r="DX84" s="399">
        <v>0</v>
      </c>
      <c r="DY84" s="399">
        <v>-17124.191299999999</v>
      </c>
      <c r="DZ84" s="399">
        <v>0</v>
      </c>
      <c r="EA84" s="399">
        <v>0</v>
      </c>
      <c r="EB84" s="399">
        <v>0</v>
      </c>
      <c r="EC84" s="399">
        <v>-16967.071192340529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218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956</v>
      </c>
      <c r="C85" s="399" t="s">
        <v>2398</v>
      </c>
      <c r="D85" s="399" t="s">
        <v>533</v>
      </c>
      <c r="E85" s="399" t="s">
        <v>921</v>
      </c>
      <c r="F85" s="399" t="s">
        <v>2362</v>
      </c>
      <c r="G85" s="399" t="s">
        <v>1239</v>
      </c>
      <c r="H85" s="399" t="s">
        <v>1239</v>
      </c>
      <c r="I85" s="399" t="s">
        <v>2326</v>
      </c>
      <c r="J85" s="399" t="s">
        <v>2329</v>
      </c>
      <c r="K85" s="789">
        <v>44470</v>
      </c>
      <c r="L85" s="399">
        <v>503</v>
      </c>
      <c r="M85" s="399">
        <v>472.82</v>
      </c>
      <c r="N85" s="399">
        <v>232.422</v>
      </c>
      <c r="O85" s="399">
        <v>218.47667999999999</v>
      </c>
      <c r="P85" s="399">
        <v>232.422</v>
      </c>
      <c r="Q85" s="399">
        <v>218.47667999999999</v>
      </c>
      <c r="R85" s="399">
        <v>35.15</v>
      </c>
      <c r="S85" s="399">
        <v>69.680000000000007</v>
      </c>
      <c r="T85" s="399">
        <v>141.32</v>
      </c>
      <c r="U85" s="399">
        <v>17680.45</v>
      </c>
      <c r="V85" s="399">
        <v>49041.042000000001</v>
      </c>
      <c r="W85" s="399">
        <v>66721.491999999998</v>
      </c>
      <c r="X85" s="399">
        <v>61143.84188</v>
      </c>
      <c r="Y85" s="399">
        <v>0</v>
      </c>
      <c r="Z85" s="399">
        <v>12269.331226273938</v>
      </c>
      <c r="AA85" s="399">
        <v>0</v>
      </c>
      <c r="AB85" s="399">
        <v>0</v>
      </c>
      <c r="AC85" s="399">
        <v>0</v>
      </c>
      <c r="AD85" s="399">
        <v>6705.6807661400244</v>
      </c>
      <c r="AE85" s="399">
        <v>10974.4425423055</v>
      </c>
      <c r="AF85" s="399">
        <v>32845.628355894252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2180.5814257328352</v>
      </c>
      <c r="AM85" s="399"/>
      <c r="AN85" s="399">
        <v>139.62575298255734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1606.7236230225762</v>
      </c>
      <c r="BH85" s="399">
        <v>0</v>
      </c>
      <c r="BI85" s="399">
        <v>0</v>
      </c>
      <c r="BJ85" s="399">
        <v>0</v>
      </c>
      <c r="BK85" s="399">
        <v>0</v>
      </c>
      <c r="BL85" s="399">
        <v>0</v>
      </c>
      <c r="BM85" s="399"/>
      <c r="BN85" s="399"/>
      <c r="BO85" s="399"/>
      <c r="BP85" s="399"/>
      <c r="BQ85" s="399">
        <v>3668.6305128000022</v>
      </c>
      <c r="BR85" s="399"/>
      <c r="BS85" s="399"/>
      <c r="BT85" s="399"/>
      <c r="BU85" s="399"/>
      <c r="BV85" s="399">
        <v>34452.351978916828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57475.900399999999</v>
      </c>
      <c r="CJ85" s="399">
        <v>-5242.3320800000001</v>
      </c>
      <c r="CK85" s="399"/>
      <c r="CL85" s="399"/>
      <c r="CM85" s="399"/>
      <c r="CN85" s="399"/>
      <c r="CO85" s="399">
        <v>-5577.6501200000012</v>
      </c>
      <c r="CP85" s="399">
        <v>0</v>
      </c>
      <c r="CQ85" s="399">
        <v>31</v>
      </c>
      <c r="CR85" s="399">
        <v>-837.82606112147914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-31.937166919038646</v>
      </c>
      <c r="DA85" s="399">
        <v>0</v>
      </c>
      <c r="DB85" s="399">
        <v>0</v>
      </c>
      <c r="DC85" s="399">
        <v>0</v>
      </c>
      <c r="DD85" s="399">
        <v>0</v>
      </c>
      <c r="DE85" s="399">
        <v>0</v>
      </c>
      <c r="DF85" s="399">
        <v>0</v>
      </c>
      <c r="DG85" s="399">
        <v>0</v>
      </c>
      <c r="DH85" s="399">
        <v>0</v>
      </c>
      <c r="DI85" s="399">
        <v>-691.29904345762588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-108.95973408532518</v>
      </c>
      <c r="DP85" s="399">
        <v>-5.6301166594886638</v>
      </c>
      <c r="DQ85" s="399">
        <v>0</v>
      </c>
      <c r="DR85" s="399">
        <v>0</v>
      </c>
      <c r="DS85" s="399"/>
      <c r="DT85" s="399"/>
      <c r="DU85" s="399">
        <v>10974.4425423055</v>
      </c>
      <c r="DV85" s="399">
        <v>0</v>
      </c>
      <c r="DW85" s="399">
        <v>0</v>
      </c>
      <c r="DX85" s="399">
        <v>0</v>
      </c>
      <c r="DY85" s="399">
        <v>-5577.6501200000057</v>
      </c>
      <c r="DZ85" s="399">
        <v>0</v>
      </c>
      <c r="EA85" s="399">
        <v>0</v>
      </c>
      <c r="EB85" s="399">
        <v>0</v>
      </c>
      <c r="EC85" s="399">
        <v>-4741.1719082114441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218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956</v>
      </c>
      <c r="C86" s="399" t="s">
        <v>2398</v>
      </c>
      <c r="D86" s="399" t="s">
        <v>533</v>
      </c>
      <c r="E86" s="399" t="s">
        <v>921</v>
      </c>
      <c r="F86" s="399" t="s">
        <v>2362</v>
      </c>
      <c r="G86" s="399" t="s">
        <v>1239</v>
      </c>
      <c r="H86" s="399" t="s">
        <v>1239</v>
      </c>
      <c r="I86" s="399" t="s">
        <v>1239</v>
      </c>
      <c r="J86" s="399" t="s">
        <v>2329</v>
      </c>
      <c r="K86" s="789">
        <v>44470</v>
      </c>
      <c r="L86" s="399">
        <v>0</v>
      </c>
      <c r="M86" s="399">
        <v>0</v>
      </c>
      <c r="N86" s="399">
        <v>0</v>
      </c>
      <c r="O86" s="399">
        <v>0</v>
      </c>
      <c r="P86" s="399">
        <v>0</v>
      </c>
      <c r="Q86" s="399">
        <v>0</v>
      </c>
      <c r="R86" s="399"/>
      <c r="S86" s="399"/>
      <c r="T86" s="399"/>
      <c r="U86" s="399"/>
      <c r="V86" s="399"/>
      <c r="W86" s="399"/>
      <c r="X86" s="399"/>
      <c r="Y86" s="399"/>
      <c r="Z86" s="399"/>
      <c r="AA86" s="399">
        <v>0</v>
      </c>
      <c r="AB86" s="399"/>
      <c r="AC86" s="399"/>
      <c r="AD86" s="399"/>
      <c r="AE86" s="399"/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>
        <v>0</v>
      </c>
      <c r="BA86" s="399"/>
      <c r="BB86" s="399"/>
      <c r="BC86" s="399"/>
      <c r="BD86" s="399"/>
      <c r="BE86" s="399"/>
      <c r="BF86" s="399"/>
      <c r="BG86" s="399"/>
      <c r="BH86" s="399"/>
      <c r="BI86" s="399">
        <v>974.81</v>
      </c>
      <c r="BJ86" s="399">
        <v>4499.1400000000003</v>
      </c>
      <c r="BK86" s="399">
        <v>49358.82</v>
      </c>
      <c r="BL86" s="399">
        <v>2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/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/>
      <c r="CJ86" s="399">
        <v>-0.03</v>
      </c>
      <c r="CK86" s="399"/>
      <c r="CL86" s="399"/>
      <c r="CM86" s="399"/>
      <c r="CN86" s="399"/>
      <c r="CO86" s="399">
        <v>0</v>
      </c>
      <c r="CP86" s="399">
        <v>0</v>
      </c>
      <c r="CQ86" s="399">
        <v>31</v>
      </c>
      <c r="CR86" s="399"/>
      <c r="CS86" s="399"/>
      <c r="CT86" s="399"/>
      <c r="CU86" s="399"/>
      <c r="CV86" s="399"/>
      <c r="CW86" s="399"/>
      <c r="CX86" s="399"/>
      <c r="CY86" s="399"/>
      <c r="CZ86" s="399"/>
      <c r="DA86" s="399"/>
      <c r="DB86" s="399"/>
      <c r="DC86" s="399"/>
      <c r="DD86" s="399"/>
      <c r="DE86" s="399"/>
      <c r="DF86" s="399"/>
      <c r="DG86" s="399"/>
      <c r="DH86" s="399"/>
      <c r="DI86" s="399"/>
      <c r="DJ86" s="399"/>
      <c r="DK86" s="399">
        <v>0</v>
      </c>
      <c r="DL86" s="399"/>
      <c r="DM86" s="399"/>
      <c r="DN86" s="399"/>
      <c r="DO86" s="399"/>
      <c r="DP86" s="399"/>
      <c r="DQ86" s="399"/>
      <c r="DR86" s="399"/>
      <c r="DS86" s="399"/>
      <c r="DT86" s="399"/>
      <c r="DU86" s="399"/>
      <c r="DV86" s="399"/>
      <c r="DW86" s="399"/>
      <c r="DX86" s="399"/>
      <c r="DY86" s="399"/>
      <c r="DZ86" s="399"/>
      <c r="EA86" s="399"/>
      <c r="EB86" s="399"/>
      <c r="EC86" s="399"/>
      <c r="ED86" s="399"/>
      <c r="EE86" s="399"/>
      <c r="EF86" s="399"/>
      <c r="EG86" s="399"/>
      <c r="EH86" s="399"/>
      <c r="EI86" s="399"/>
      <c r="EJ86" s="399"/>
      <c r="EK86" s="399"/>
      <c r="EL86" s="399"/>
      <c r="EM86" s="399"/>
      <c r="EN86" s="399"/>
      <c r="EO86" s="399"/>
      <c r="EP86" s="399"/>
      <c r="EQ86" s="399"/>
      <c r="ER86" s="399"/>
      <c r="ES86" s="399"/>
      <c r="ET86" s="399"/>
      <c r="EU86" s="399"/>
      <c r="EV86" s="399">
        <v>218</v>
      </c>
      <c r="EW86" s="399"/>
      <c r="EX86" s="399"/>
      <c r="EY86" s="399"/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956</v>
      </c>
      <c r="C87" s="399" t="s">
        <v>2334</v>
      </c>
      <c r="D87" s="399" t="s">
        <v>533</v>
      </c>
      <c r="E87" s="399" t="s">
        <v>921</v>
      </c>
      <c r="F87" s="399" t="s">
        <v>2362</v>
      </c>
      <c r="G87" s="399" t="s">
        <v>1239</v>
      </c>
      <c r="H87" s="399" t="s">
        <v>1239</v>
      </c>
      <c r="I87" s="399" t="s">
        <v>893</v>
      </c>
      <c r="J87" s="399" t="s">
        <v>2329</v>
      </c>
      <c r="K87" s="789">
        <v>44470</v>
      </c>
      <c r="L87" s="399">
        <v>0</v>
      </c>
      <c r="M87" s="399">
        <v>0</v>
      </c>
      <c r="N87" s="399">
        <v>2.4889999999999999</v>
      </c>
      <c r="O87" s="399">
        <v>2.3396599999999999</v>
      </c>
      <c r="P87" s="399">
        <v>2.4889999999999999</v>
      </c>
      <c r="Q87" s="399">
        <v>2.3396599999999999</v>
      </c>
      <c r="R87" s="399"/>
      <c r="S87" s="399">
        <v>2741.05</v>
      </c>
      <c r="T87" s="399">
        <v>141.32</v>
      </c>
      <c r="U87" s="399"/>
      <c r="V87" s="399">
        <v>7174.21893</v>
      </c>
      <c r="W87" s="399">
        <v>7174.21893</v>
      </c>
      <c r="X87" s="399">
        <v>5136.9973199999995</v>
      </c>
      <c r="Y87" s="399">
        <v>0</v>
      </c>
      <c r="Z87" s="399">
        <v>131.39188812675147</v>
      </c>
      <c r="AA87" s="399">
        <v>0</v>
      </c>
      <c r="AB87" s="399">
        <v>0</v>
      </c>
      <c r="AC87" s="399">
        <v>0</v>
      </c>
      <c r="AD87" s="399">
        <v>1975.1745215496267</v>
      </c>
      <c r="AE87" s="399">
        <v>4673.8659451041704</v>
      </c>
      <c r="AF87" s="399">
        <v>351.74281684961318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23.351778956592007</v>
      </c>
      <c r="AM87" s="399"/>
      <c r="AN87" s="399">
        <v>1.4952478645463219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17.206353519474025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>
        <v>308.21983920000002</v>
      </c>
      <c r="BR87" s="399"/>
      <c r="BS87" s="399"/>
      <c r="BT87" s="399"/>
      <c r="BU87" s="399"/>
      <c r="BV87" s="399">
        <v>368.9491703690872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4829.4791999999998</v>
      </c>
      <c r="CJ87" s="399">
        <v>-1914.3165942000005</v>
      </c>
      <c r="CK87" s="399"/>
      <c r="CL87" s="399"/>
      <c r="CM87" s="399"/>
      <c r="CN87" s="399"/>
      <c r="CO87" s="399">
        <v>-2037.2216100000005</v>
      </c>
      <c r="CP87" s="399">
        <v>0</v>
      </c>
      <c r="CQ87" s="399">
        <v>31</v>
      </c>
      <c r="CR87" s="399">
        <v>-18.037409128924537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-9.4071699189103128</v>
      </c>
      <c r="DA87" s="399">
        <v>0</v>
      </c>
      <c r="DB87" s="399">
        <v>0</v>
      </c>
      <c r="DC87" s="399">
        <v>0</v>
      </c>
      <c r="DD87" s="399">
        <v>0</v>
      </c>
      <c r="DE87" s="399">
        <v>0</v>
      </c>
      <c r="DF87" s="399">
        <v>0</v>
      </c>
      <c r="DG87" s="399">
        <v>0</v>
      </c>
      <c r="DH87" s="399">
        <v>0</v>
      </c>
      <c r="DI87" s="399">
        <v>-7.4031000471815531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-1.1668464178880456</v>
      </c>
      <c r="DP87" s="399">
        <v>-6.0292744944399734E-2</v>
      </c>
      <c r="DQ87" s="399">
        <v>0</v>
      </c>
      <c r="DR87" s="399">
        <v>0</v>
      </c>
      <c r="DS87" s="399"/>
      <c r="DT87" s="399"/>
      <c r="DU87" s="399"/>
      <c r="DV87" s="399">
        <v>4673.8659451041704</v>
      </c>
      <c r="DW87" s="399">
        <v>0</v>
      </c>
      <c r="DX87" s="399">
        <v>0</v>
      </c>
      <c r="DY87" s="399">
        <v>-2037.2216100000005</v>
      </c>
      <c r="DZ87" s="399">
        <v>0</v>
      </c>
      <c r="EA87" s="399">
        <v>0</v>
      </c>
      <c r="EB87" s="399">
        <v>0</v>
      </c>
      <c r="EC87" s="399">
        <v>-2019.2006870736968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218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956</v>
      </c>
      <c r="C88" s="399" t="s">
        <v>2334</v>
      </c>
      <c r="D88" s="399" t="s">
        <v>533</v>
      </c>
      <c r="E88" s="399" t="s">
        <v>921</v>
      </c>
      <c r="F88" s="399" t="s">
        <v>2362</v>
      </c>
      <c r="G88" s="399" t="s">
        <v>1239</v>
      </c>
      <c r="H88" s="399" t="s">
        <v>1239</v>
      </c>
      <c r="I88" s="399" t="s">
        <v>2326</v>
      </c>
      <c r="J88" s="399" t="s">
        <v>2329</v>
      </c>
      <c r="K88" s="789">
        <v>44470</v>
      </c>
      <c r="L88" s="399">
        <v>0</v>
      </c>
      <c r="M88" s="399">
        <v>0</v>
      </c>
      <c r="N88" s="399">
        <v>20.884</v>
      </c>
      <c r="O88" s="399">
        <v>19.630960000000002</v>
      </c>
      <c r="P88" s="399">
        <v>20.884</v>
      </c>
      <c r="Q88" s="399">
        <v>19.630960000000002</v>
      </c>
      <c r="R88" s="399"/>
      <c r="S88" s="399">
        <v>69.680000000000007</v>
      </c>
      <c r="T88" s="399">
        <v>141.32</v>
      </c>
      <c r="U88" s="399"/>
      <c r="V88" s="399">
        <v>4406.5240000000003</v>
      </c>
      <c r="W88" s="399">
        <v>4406.5240000000003</v>
      </c>
      <c r="X88" s="399">
        <v>4334.2653600000003</v>
      </c>
      <c r="Y88" s="399">
        <v>0</v>
      </c>
      <c r="Z88" s="399">
        <v>1102.4460392282353</v>
      </c>
      <c r="AA88" s="399">
        <v>0</v>
      </c>
      <c r="AB88" s="399">
        <v>0</v>
      </c>
      <c r="AC88" s="399">
        <v>0</v>
      </c>
      <c r="AD88" s="399">
        <v>0</v>
      </c>
      <c r="AE88" s="399">
        <v>0</v>
      </c>
      <c r="AF88" s="399">
        <v>2951.3045347879961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195.93352821593712</v>
      </c>
      <c r="AM88" s="399"/>
      <c r="AN88" s="399">
        <v>12.54590454125568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144.37022374475515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>
        <v>260.05592159999969</v>
      </c>
      <c r="BR88" s="399"/>
      <c r="BS88" s="399"/>
      <c r="BT88" s="399"/>
      <c r="BU88" s="399"/>
      <c r="BV88" s="399">
        <v>3095.6747585327512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4074.0101999999997</v>
      </c>
      <c r="CJ88" s="399">
        <v>-68.152360000000954</v>
      </c>
      <c r="CK88" s="399"/>
      <c r="CL88" s="399"/>
      <c r="CM88" s="399"/>
      <c r="CN88" s="399"/>
      <c r="CO88" s="399">
        <v>-72.25864000000017</v>
      </c>
      <c r="CP88" s="399">
        <v>0</v>
      </c>
      <c r="CQ88" s="399">
        <v>31</v>
      </c>
      <c r="CR88" s="399">
        <v>-72.412179856139119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0</v>
      </c>
      <c r="DD88" s="399">
        <v>0</v>
      </c>
      <c r="DE88" s="399">
        <v>0</v>
      </c>
      <c r="DF88" s="399">
        <v>0</v>
      </c>
      <c r="DG88" s="399">
        <v>0</v>
      </c>
      <c r="DH88" s="399">
        <v>0</v>
      </c>
      <c r="DI88" s="399">
        <v>-62.11584627775801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-9.7904461997484589</v>
      </c>
      <c r="DP88" s="399">
        <v>-0.50588737863352584</v>
      </c>
      <c r="DQ88" s="399">
        <v>0</v>
      </c>
      <c r="DR88" s="399">
        <v>0</v>
      </c>
      <c r="DS88" s="399"/>
      <c r="DT88" s="399"/>
      <c r="DU88" s="399"/>
      <c r="DV88" s="399">
        <v>0</v>
      </c>
      <c r="DW88" s="399">
        <v>0</v>
      </c>
      <c r="DX88" s="399">
        <v>0</v>
      </c>
      <c r="DY88" s="399">
        <v>-72.258640000000241</v>
      </c>
      <c r="DZ88" s="399">
        <v>0</v>
      </c>
      <c r="EA88" s="399">
        <v>0</v>
      </c>
      <c r="EB88" s="399">
        <v>0</v>
      </c>
      <c r="EC88" s="399">
        <v>0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218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956</v>
      </c>
      <c r="C89" s="399" t="s">
        <v>2334</v>
      </c>
      <c r="D89" s="399" t="s">
        <v>533</v>
      </c>
      <c r="E89" s="399" t="s">
        <v>921</v>
      </c>
      <c r="F89" s="399" t="s">
        <v>2362</v>
      </c>
      <c r="G89" s="399" t="s">
        <v>1239</v>
      </c>
      <c r="H89" s="399" t="s">
        <v>1239</v>
      </c>
      <c r="I89" s="399" t="s">
        <v>1239</v>
      </c>
      <c r="J89" s="399" t="s">
        <v>2329</v>
      </c>
      <c r="K89" s="789">
        <v>44470</v>
      </c>
      <c r="L89" s="399">
        <v>87</v>
      </c>
      <c r="M89" s="399">
        <v>81.78</v>
      </c>
      <c r="N89" s="399">
        <v>0</v>
      </c>
      <c r="O89" s="399">
        <v>0</v>
      </c>
      <c r="P89" s="399">
        <v>0</v>
      </c>
      <c r="Q89" s="399">
        <v>0</v>
      </c>
      <c r="R89" s="399">
        <v>35.15</v>
      </c>
      <c r="S89" s="399"/>
      <c r="T89" s="399"/>
      <c r="U89" s="399">
        <v>3058.0499999999997</v>
      </c>
      <c r="V89" s="399"/>
      <c r="W89" s="399">
        <v>3058.0499999999997</v>
      </c>
      <c r="X89" s="399">
        <v>2232.42</v>
      </c>
      <c r="Y89" s="399">
        <v>0</v>
      </c>
      <c r="Z89" s="399">
        <v>0</v>
      </c>
      <c r="AA89" s="399">
        <v>0</v>
      </c>
      <c r="AB89" s="399">
        <v>0</v>
      </c>
      <c r="AC89" s="399">
        <v>0</v>
      </c>
      <c r="AD89" s="399">
        <v>1159.8294764496663</v>
      </c>
      <c r="AE89" s="399">
        <v>1898.1640182516471</v>
      </c>
      <c r="AF89" s="399"/>
      <c r="AG89" s="399"/>
      <c r="AH89" s="399"/>
      <c r="AI89" s="399">
        <v>0</v>
      </c>
      <c r="AJ89" s="399">
        <v>0</v>
      </c>
      <c r="AK89" s="399">
        <v>0</v>
      </c>
      <c r="AL89" s="399">
        <v>0</v>
      </c>
      <c r="AM89" s="399"/>
      <c r="AN89" s="399">
        <v>0</v>
      </c>
      <c r="AO89" s="399">
        <v>0</v>
      </c>
      <c r="AP89" s="399">
        <v>0</v>
      </c>
      <c r="AQ89" s="399">
        <v>0</v>
      </c>
      <c r="AR89" s="399">
        <v>0</v>
      </c>
      <c r="AS89" s="399"/>
      <c r="AT89" s="399"/>
      <c r="AU89" s="399">
        <v>0</v>
      </c>
      <c r="AV89" s="399">
        <v>0</v>
      </c>
      <c r="AW89" s="399">
        <v>0</v>
      </c>
      <c r="AX89" s="399"/>
      <c r="AY89" s="399"/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/>
      <c r="BG89" s="399">
        <v>0</v>
      </c>
      <c r="BH89" s="399">
        <v>0</v>
      </c>
      <c r="BI89" s="399">
        <v>105.5</v>
      </c>
      <c r="BJ89" s="399">
        <v>486.92</v>
      </c>
      <c r="BK89" s="399">
        <v>5410.28</v>
      </c>
      <c r="BL89" s="399">
        <v>1</v>
      </c>
      <c r="BM89" s="399"/>
      <c r="BN89" s="399"/>
      <c r="BO89" s="399"/>
      <c r="BP89" s="399"/>
      <c r="BQ89" s="399">
        <v>133.94519999999997</v>
      </c>
      <c r="BR89" s="399"/>
      <c r="BS89" s="399"/>
      <c r="BT89" s="399"/>
      <c r="BU89" s="399"/>
      <c r="BV89" s="399">
        <v>0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2098.4748</v>
      </c>
      <c r="CJ89" s="399">
        <v>-776.1222000000007</v>
      </c>
      <c r="CK89" s="399"/>
      <c r="CL89" s="399"/>
      <c r="CM89" s="399"/>
      <c r="CN89" s="399"/>
      <c r="CO89" s="399">
        <v>-825.62999999999988</v>
      </c>
      <c r="CP89" s="399">
        <v>0</v>
      </c>
      <c r="CQ89" s="399">
        <v>31</v>
      </c>
      <c r="CR89" s="399">
        <v>-5.5239235028955136</v>
      </c>
      <c r="CS89" s="399">
        <v>0</v>
      </c>
      <c r="CT89" s="399">
        <v>0</v>
      </c>
      <c r="CU89" s="399">
        <v>0</v>
      </c>
      <c r="CV89" s="399">
        <v>0</v>
      </c>
      <c r="CW89" s="399"/>
      <c r="CX89" s="399"/>
      <c r="CY89" s="399"/>
      <c r="CZ89" s="399">
        <v>-5.5239235028955136</v>
      </c>
      <c r="DA89" s="399">
        <v>0</v>
      </c>
      <c r="DB89" s="399">
        <v>0</v>
      </c>
      <c r="DC89" s="399"/>
      <c r="DD89" s="399"/>
      <c r="DE89" s="399">
        <v>0</v>
      </c>
      <c r="DF89" s="399">
        <v>0</v>
      </c>
      <c r="DG89" s="399">
        <v>0</v>
      </c>
      <c r="DH89" s="399">
        <v>0</v>
      </c>
      <c r="DI89" s="399">
        <v>0</v>
      </c>
      <c r="DJ89" s="399"/>
      <c r="DK89" s="399">
        <v>0</v>
      </c>
      <c r="DL89" s="399">
        <v>0</v>
      </c>
      <c r="DM89" s="399"/>
      <c r="DN89" s="399">
        <v>0</v>
      </c>
      <c r="DO89" s="399">
        <v>0</v>
      </c>
      <c r="DP89" s="399">
        <v>0</v>
      </c>
      <c r="DQ89" s="399">
        <v>0</v>
      </c>
      <c r="DR89" s="399">
        <v>0</v>
      </c>
      <c r="DS89" s="399"/>
      <c r="DT89" s="399"/>
      <c r="DU89" s="399">
        <v>1898.1640182516471</v>
      </c>
      <c r="DV89" s="399"/>
      <c r="DW89" s="399">
        <v>0</v>
      </c>
      <c r="DX89" s="399">
        <v>0</v>
      </c>
      <c r="DY89" s="399">
        <v>-825.62999999999965</v>
      </c>
      <c r="DZ89" s="399"/>
      <c r="EA89" s="399">
        <v>0</v>
      </c>
      <c r="EB89" s="399"/>
      <c r="EC89" s="399">
        <v>-820.04365012802327</v>
      </c>
      <c r="ED89" s="399"/>
      <c r="EE89" s="399">
        <v>0</v>
      </c>
      <c r="EF89" s="399">
        <v>0</v>
      </c>
      <c r="EG89" s="399"/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/>
      <c r="EN89" s="399"/>
      <c r="EO89" s="399">
        <v>0</v>
      </c>
      <c r="EP89" s="399">
        <v>0</v>
      </c>
      <c r="EQ89" s="399"/>
      <c r="ER89" s="399">
        <v>0</v>
      </c>
      <c r="ES89" s="399"/>
      <c r="ET89" s="399">
        <v>0</v>
      </c>
      <c r="EU89" s="399"/>
      <c r="EV89" s="399">
        <v>218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956</v>
      </c>
      <c r="C90" s="399" t="s">
        <v>2328</v>
      </c>
      <c r="D90" s="399" t="s">
        <v>2335</v>
      </c>
      <c r="E90" s="399" t="s">
        <v>894</v>
      </c>
      <c r="F90" s="399" t="s">
        <v>2363</v>
      </c>
      <c r="G90" s="399" t="s">
        <v>2340</v>
      </c>
      <c r="H90" s="399" t="s">
        <v>1239</v>
      </c>
      <c r="I90" s="399" t="s">
        <v>1239</v>
      </c>
      <c r="J90" s="399" t="s">
        <v>2329</v>
      </c>
      <c r="K90" s="789">
        <v>44470</v>
      </c>
      <c r="L90" s="399">
        <v>0</v>
      </c>
      <c r="M90" s="399">
        <v>0</v>
      </c>
      <c r="N90" s="399">
        <v>0</v>
      </c>
      <c r="O90" s="399">
        <v>0</v>
      </c>
      <c r="P90" s="399">
        <v>0</v>
      </c>
      <c r="Q90" s="399">
        <v>0</v>
      </c>
      <c r="R90" s="399"/>
      <c r="S90" s="399"/>
      <c r="T90" s="399"/>
      <c r="U90" s="399"/>
      <c r="V90" s="399"/>
      <c r="W90" s="399"/>
      <c r="X90" s="399"/>
      <c r="Y90" s="399"/>
      <c r="Z90" s="399"/>
      <c r="AA90" s="399">
        <v>0</v>
      </c>
      <c r="AB90" s="399"/>
      <c r="AC90" s="399"/>
      <c r="AD90" s="399"/>
      <c r="AE90" s="399"/>
      <c r="AF90" s="399"/>
      <c r="AG90" s="399"/>
      <c r="AH90" s="399"/>
      <c r="AI90" s="399"/>
      <c r="AJ90" s="399"/>
      <c r="AK90" s="399"/>
      <c r="AL90" s="399"/>
      <c r="AM90" s="399"/>
      <c r="AN90" s="399"/>
      <c r="AO90" s="399"/>
      <c r="AP90" s="399"/>
      <c r="AQ90" s="399"/>
      <c r="AR90" s="399"/>
      <c r="AS90" s="399"/>
      <c r="AT90" s="399"/>
      <c r="AU90" s="399"/>
      <c r="AV90" s="399"/>
      <c r="AW90" s="399"/>
      <c r="AX90" s="399"/>
      <c r="AY90" s="399"/>
      <c r="AZ90" s="399">
        <v>0</v>
      </c>
      <c r="BA90" s="399"/>
      <c r="BB90" s="399"/>
      <c r="BC90" s="399"/>
      <c r="BD90" s="399"/>
      <c r="BE90" s="399"/>
      <c r="BF90" s="399"/>
      <c r="BG90" s="399"/>
      <c r="BH90" s="399"/>
      <c r="BI90" s="399">
        <v>21.52</v>
      </c>
      <c r="BJ90" s="399">
        <v>99.75</v>
      </c>
      <c r="BK90" s="399">
        <v>608.84</v>
      </c>
      <c r="BL90" s="399">
        <v>22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/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/>
      <c r="CJ90" s="399">
        <v>-0.03</v>
      </c>
      <c r="CK90" s="399"/>
      <c r="CL90" s="399"/>
      <c r="CM90" s="399"/>
      <c r="CN90" s="399"/>
      <c r="CO90" s="399">
        <v>0</v>
      </c>
      <c r="CP90" s="399">
        <v>0</v>
      </c>
      <c r="CQ90" s="399">
        <v>31</v>
      </c>
      <c r="CR90" s="399"/>
      <c r="CS90" s="399"/>
      <c r="CT90" s="399"/>
      <c r="CU90" s="399"/>
      <c r="CV90" s="399"/>
      <c r="CW90" s="399"/>
      <c r="CX90" s="399"/>
      <c r="CY90" s="399"/>
      <c r="CZ90" s="399"/>
      <c r="DA90" s="399"/>
      <c r="DB90" s="399"/>
      <c r="DC90" s="399"/>
      <c r="DD90" s="399"/>
      <c r="DE90" s="399"/>
      <c r="DF90" s="399"/>
      <c r="DG90" s="399"/>
      <c r="DH90" s="399"/>
      <c r="DI90" s="399"/>
      <c r="DJ90" s="399"/>
      <c r="DK90" s="399">
        <v>0</v>
      </c>
      <c r="DL90" s="399"/>
      <c r="DM90" s="399"/>
      <c r="DN90" s="399"/>
      <c r="DO90" s="399"/>
      <c r="DP90" s="399"/>
      <c r="DQ90" s="399"/>
      <c r="DR90" s="399"/>
      <c r="DS90" s="399"/>
      <c r="DT90" s="399"/>
      <c r="DU90" s="399"/>
      <c r="DV90" s="399"/>
      <c r="DW90" s="399"/>
      <c r="DX90" s="399"/>
      <c r="DY90" s="399"/>
      <c r="DZ90" s="399"/>
      <c r="EA90" s="399"/>
      <c r="EB90" s="399"/>
      <c r="EC90" s="399"/>
      <c r="ED90" s="399"/>
      <c r="EE90" s="399"/>
      <c r="EF90" s="399"/>
      <c r="EG90" s="399"/>
      <c r="EH90" s="399"/>
      <c r="EI90" s="399"/>
      <c r="EJ90" s="399"/>
      <c r="EK90" s="399"/>
      <c r="EL90" s="399"/>
      <c r="EM90" s="399"/>
      <c r="EN90" s="399"/>
      <c r="EO90" s="399"/>
      <c r="EP90" s="399"/>
      <c r="EQ90" s="399"/>
      <c r="ER90" s="399"/>
      <c r="ES90" s="399"/>
      <c r="ET90" s="399"/>
      <c r="EU90" s="399"/>
      <c r="EV90" s="399">
        <v>218</v>
      </c>
      <c r="EW90" s="399"/>
      <c r="EX90" s="399"/>
      <c r="EY90" s="399"/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2361</v>
      </c>
      <c r="C91" s="399" t="s">
        <v>2328</v>
      </c>
      <c r="D91" s="399" t="s">
        <v>2335</v>
      </c>
      <c r="E91" s="399" t="s">
        <v>894</v>
      </c>
      <c r="F91" s="399" t="s">
        <v>2363</v>
      </c>
      <c r="G91" s="399" t="s">
        <v>2340</v>
      </c>
      <c r="H91" s="399" t="s">
        <v>1239</v>
      </c>
      <c r="I91" s="399" t="s">
        <v>1239</v>
      </c>
      <c r="J91" s="399" t="s">
        <v>2329</v>
      </c>
      <c r="K91" s="789">
        <v>44470</v>
      </c>
      <c r="L91" s="399">
        <v>0</v>
      </c>
      <c r="M91" s="399">
        <v>0</v>
      </c>
      <c r="N91" s="399">
        <v>0</v>
      </c>
      <c r="O91" s="399">
        <v>0</v>
      </c>
      <c r="P91" s="399">
        <v>0</v>
      </c>
      <c r="Q91" s="399">
        <v>0</v>
      </c>
      <c r="R91" s="399"/>
      <c r="S91" s="399"/>
      <c r="T91" s="399"/>
      <c r="U91" s="399"/>
      <c r="V91" s="399"/>
      <c r="W91" s="399"/>
      <c r="X91" s="399"/>
      <c r="Y91" s="399"/>
      <c r="Z91" s="399"/>
      <c r="AA91" s="399">
        <v>0</v>
      </c>
      <c r="AB91" s="399"/>
      <c r="AC91" s="399"/>
      <c r="AD91" s="399"/>
      <c r="AE91" s="399"/>
      <c r="AF91" s="399"/>
      <c r="AG91" s="399"/>
      <c r="AH91" s="399"/>
      <c r="AI91" s="399"/>
      <c r="AJ91" s="399"/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>
        <v>0</v>
      </c>
      <c r="BA91" s="399"/>
      <c r="BB91" s="399"/>
      <c r="BC91" s="399"/>
      <c r="BD91" s="399"/>
      <c r="BE91" s="399"/>
      <c r="BF91" s="399"/>
      <c r="BG91" s="399"/>
      <c r="BH91" s="399"/>
      <c r="BI91" s="399">
        <v>0.94</v>
      </c>
      <c r="BJ91" s="399">
        <v>4.38</v>
      </c>
      <c r="BK91" s="399">
        <v>26.77</v>
      </c>
      <c r="BL91" s="399">
        <v>3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/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/>
      <c r="CJ91" s="399">
        <v>-0.03</v>
      </c>
      <c r="CK91" s="399"/>
      <c r="CL91" s="399"/>
      <c r="CM91" s="399"/>
      <c r="CN91" s="399"/>
      <c r="CO91" s="399">
        <v>0</v>
      </c>
      <c r="CP91" s="399">
        <v>0</v>
      </c>
      <c r="CQ91" s="399">
        <v>31</v>
      </c>
      <c r="CR91" s="399"/>
      <c r="CS91" s="399"/>
      <c r="CT91" s="399"/>
      <c r="CU91" s="399"/>
      <c r="CV91" s="399"/>
      <c r="CW91" s="399"/>
      <c r="CX91" s="399"/>
      <c r="CY91" s="399"/>
      <c r="CZ91" s="399"/>
      <c r="DA91" s="399"/>
      <c r="DB91" s="399"/>
      <c r="DC91" s="399"/>
      <c r="DD91" s="399"/>
      <c r="DE91" s="399"/>
      <c r="DF91" s="399"/>
      <c r="DG91" s="399"/>
      <c r="DH91" s="399"/>
      <c r="DI91" s="399"/>
      <c r="DJ91" s="399"/>
      <c r="DK91" s="399">
        <v>0</v>
      </c>
      <c r="DL91" s="399"/>
      <c r="DM91" s="399"/>
      <c r="DN91" s="399"/>
      <c r="DO91" s="399"/>
      <c r="DP91" s="399"/>
      <c r="DQ91" s="399"/>
      <c r="DR91" s="399"/>
      <c r="DS91" s="399"/>
      <c r="DT91" s="399"/>
      <c r="DU91" s="399"/>
      <c r="DV91" s="399"/>
      <c r="DW91" s="399"/>
      <c r="DX91" s="399"/>
      <c r="DY91" s="399"/>
      <c r="DZ91" s="399"/>
      <c r="EA91" s="399"/>
      <c r="EB91" s="399"/>
      <c r="EC91" s="399"/>
      <c r="ED91" s="399"/>
      <c r="EE91" s="399"/>
      <c r="EF91" s="399"/>
      <c r="EG91" s="399"/>
      <c r="EH91" s="399"/>
      <c r="EI91" s="399"/>
      <c r="EJ91" s="399"/>
      <c r="EK91" s="399"/>
      <c r="EL91" s="399"/>
      <c r="EM91" s="399"/>
      <c r="EN91" s="399"/>
      <c r="EO91" s="399"/>
      <c r="EP91" s="399"/>
      <c r="EQ91" s="399"/>
      <c r="ER91" s="399"/>
      <c r="ES91" s="399"/>
      <c r="ET91" s="399"/>
      <c r="EU91" s="399"/>
      <c r="EV91" s="399">
        <v>218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956</v>
      </c>
      <c r="C92" s="399" t="s">
        <v>2328</v>
      </c>
      <c r="D92" s="399" t="s">
        <v>2335</v>
      </c>
      <c r="E92" s="399" t="s">
        <v>894</v>
      </c>
      <c r="F92" s="399" t="s">
        <v>2363</v>
      </c>
      <c r="G92" s="399" t="s">
        <v>2340</v>
      </c>
      <c r="H92" s="399" t="s">
        <v>1239</v>
      </c>
      <c r="I92" s="399" t="s">
        <v>1239</v>
      </c>
      <c r="J92" s="399" t="s">
        <v>2329</v>
      </c>
      <c r="K92" s="789">
        <v>44470</v>
      </c>
      <c r="L92" s="399">
        <v>0</v>
      </c>
      <c r="M92" s="399">
        <v>0</v>
      </c>
      <c r="N92" s="399">
        <v>2.9990000000000001</v>
      </c>
      <c r="O92" s="399">
        <v>2.9990000000000001</v>
      </c>
      <c r="P92" s="399">
        <v>2.9990000000000001</v>
      </c>
      <c r="Q92" s="399">
        <v>2.9990000000000001</v>
      </c>
      <c r="R92" s="399"/>
      <c r="S92" s="399">
        <v>521.86</v>
      </c>
      <c r="T92" s="399">
        <v>141.32</v>
      </c>
      <c r="U92" s="399"/>
      <c r="V92" s="399">
        <v>1988.87682</v>
      </c>
      <c r="W92" s="399">
        <v>1988.87682</v>
      </c>
      <c r="X92" s="399">
        <v>1554.4716699999999</v>
      </c>
      <c r="Y92" s="399">
        <v>0</v>
      </c>
      <c r="Z92" s="399">
        <v>181.97045043807819</v>
      </c>
      <c r="AA92" s="399">
        <v>0</v>
      </c>
      <c r="AB92" s="399">
        <v>0</v>
      </c>
      <c r="AC92" s="399">
        <v>0</v>
      </c>
      <c r="AD92" s="399">
        <v>322.55385286753875</v>
      </c>
      <c r="AE92" s="399">
        <v>974.52743377926208</v>
      </c>
      <c r="AF92" s="399">
        <v>423.81547116592606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28.13659505456787</v>
      </c>
      <c r="AM92" s="399"/>
      <c r="AN92" s="399">
        <v>4.1592131837437742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53.696789134979106</v>
      </c>
      <c r="BH92" s="399">
        <v>0</v>
      </c>
      <c r="BI92" s="399">
        <v>0</v>
      </c>
      <c r="BJ92" s="399">
        <v>0</v>
      </c>
      <c r="BK92" s="399">
        <v>0</v>
      </c>
      <c r="BL92" s="399">
        <v>0</v>
      </c>
      <c r="BM92" s="399"/>
      <c r="BN92" s="399"/>
      <c r="BO92" s="399"/>
      <c r="BP92" s="399"/>
      <c r="BQ92" s="399"/>
      <c r="BR92" s="399">
        <v>186.5378</v>
      </c>
      <c r="BS92" s="399"/>
      <c r="BT92" s="399"/>
      <c r="BU92" s="399"/>
      <c r="BV92" s="399">
        <v>477.51226030090515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1368.3899999999999</v>
      </c>
      <c r="CJ92" s="399">
        <v>-381.82641000000035</v>
      </c>
      <c r="CK92" s="399"/>
      <c r="CL92" s="399"/>
      <c r="CM92" s="399"/>
      <c r="CN92" s="399"/>
      <c r="CO92" s="399">
        <v>-434.40515000000011</v>
      </c>
      <c r="CP92" s="399">
        <v>0</v>
      </c>
      <c r="CQ92" s="399">
        <v>31</v>
      </c>
      <c r="CR92" s="399">
        <v>-13.362756340424085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-1.5362282516391588</v>
      </c>
      <c r="DA92" s="399">
        <v>0</v>
      </c>
      <c r="DB92" s="399">
        <v>0</v>
      </c>
      <c r="DC92" s="399">
        <v>0</v>
      </c>
      <c r="DD92" s="399">
        <v>0</v>
      </c>
      <c r="DE92" s="399">
        <v>0</v>
      </c>
      <c r="DF92" s="399">
        <v>0</v>
      </c>
      <c r="DG92" s="399">
        <v>0</v>
      </c>
      <c r="DH92" s="399">
        <v>0</v>
      </c>
      <c r="DI92" s="399">
        <v>-10.252881433016455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-1.4059350772383468</v>
      </c>
      <c r="DP92" s="399">
        <v>-0.16771157853009644</v>
      </c>
      <c r="DQ92" s="399">
        <v>0</v>
      </c>
      <c r="DR92" s="399">
        <v>0</v>
      </c>
      <c r="DS92" s="399"/>
      <c r="DT92" s="399"/>
      <c r="DU92" s="399"/>
      <c r="DV92" s="399">
        <v>974.52743377926208</v>
      </c>
      <c r="DW92" s="399">
        <v>0</v>
      </c>
      <c r="DX92" s="399">
        <v>0</v>
      </c>
      <c r="DY92" s="399">
        <v>-434.40515000000005</v>
      </c>
      <c r="DZ92" s="399">
        <v>0</v>
      </c>
      <c r="EA92" s="399">
        <v>0</v>
      </c>
      <c r="EB92" s="399">
        <v>0</v>
      </c>
      <c r="EC92" s="399">
        <v>-421.01474175151748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218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2361</v>
      </c>
      <c r="C93" s="399" t="s">
        <v>2328</v>
      </c>
      <c r="D93" s="399" t="s">
        <v>2335</v>
      </c>
      <c r="E93" s="399" t="s">
        <v>894</v>
      </c>
      <c r="F93" s="399" t="s">
        <v>2363</v>
      </c>
      <c r="G93" s="399" t="s">
        <v>2340</v>
      </c>
      <c r="H93" s="399" t="s">
        <v>1239</v>
      </c>
      <c r="I93" s="399" t="s">
        <v>1239</v>
      </c>
      <c r="J93" s="399" t="s">
        <v>2329</v>
      </c>
      <c r="K93" s="789">
        <v>44470</v>
      </c>
      <c r="L93" s="399">
        <v>0</v>
      </c>
      <c r="M93" s="399">
        <v>0</v>
      </c>
      <c r="N93" s="399">
        <v>0.20899999999999999</v>
      </c>
      <c r="O93" s="399">
        <v>0.20899999999999999</v>
      </c>
      <c r="P93" s="399">
        <v>0.20899999999999999</v>
      </c>
      <c r="Q93" s="399">
        <v>0.20899999999999999</v>
      </c>
      <c r="R93" s="399"/>
      <c r="S93" s="399">
        <v>521.86</v>
      </c>
      <c r="T93" s="399">
        <v>141.32</v>
      </c>
      <c r="U93" s="399"/>
      <c r="V93" s="399">
        <v>138.60462000000001</v>
      </c>
      <c r="W93" s="399">
        <v>138.60462000000001</v>
      </c>
      <c r="X93" s="399">
        <v>108.33097000000001</v>
      </c>
      <c r="Y93" s="399">
        <v>0</v>
      </c>
      <c r="Z93" s="399">
        <v>12.681501881146495</v>
      </c>
      <c r="AA93" s="399">
        <v>0</v>
      </c>
      <c r="AB93" s="399">
        <v>0</v>
      </c>
      <c r="AC93" s="399">
        <v>0</v>
      </c>
      <c r="AD93" s="399">
        <v>22.478744664660084</v>
      </c>
      <c r="AE93" s="399">
        <v>67.914716125330358</v>
      </c>
      <c r="AF93" s="399">
        <v>29.535656376685075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1.9608364009352066</v>
      </c>
      <c r="AM93" s="399"/>
      <c r="AN93" s="399">
        <v>0.28985513684643172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3.7421236842983099</v>
      </c>
      <c r="BH93" s="399">
        <v>0</v>
      </c>
      <c r="BI93" s="399">
        <v>0</v>
      </c>
      <c r="BJ93" s="399">
        <v>0</v>
      </c>
      <c r="BK93" s="399">
        <v>0</v>
      </c>
      <c r="BL93" s="399">
        <v>0</v>
      </c>
      <c r="BM93" s="399"/>
      <c r="BN93" s="399"/>
      <c r="BO93" s="399"/>
      <c r="BP93" s="399"/>
      <c r="BQ93" s="399"/>
      <c r="BR93" s="399">
        <v>12.9998</v>
      </c>
      <c r="BS93" s="399"/>
      <c r="BT93" s="399"/>
      <c r="BU93" s="399"/>
      <c r="BV93" s="399">
        <v>33.277780060983389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95.787299999999988</v>
      </c>
      <c r="CJ93" s="399">
        <v>-26.213010000000011</v>
      </c>
      <c r="CK93" s="399"/>
      <c r="CL93" s="399"/>
      <c r="CM93" s="399"/>
      <c r="CN93" s="399"/>
      <c r="CO93" s="399">
        <v>-30.273650000000004</v>
      </c>
      <c r="CP93" s="399">
        <v>0</v>
      </c>
      <c r="CQ93" s="399">
        <v>31</v>
      </c>
      <c r="CR93" s="399">
        <v>-0.93124910808555228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-0.10705958806021343</v>
      </c>
      <c r="DA93" s="399">
        <v>0</v>
      </c>
      <c r="DB93" s="399">
        <v>0</v>
      </c>
      <c r="DC93" s="399">
        <v>0</v>
      </c>
      <c r="DD93" s="399">
        <v>0</v>
      </c>
      <c r="DE93" s="399">
        <v>0</v>
      </c>
      <c r="DF93" s="399">
        <v>0</v>
      </c>
      <c r="DG93" s="399">
        <v>0</v>
      </c>
      <c r="DH93" s="399">
        <v>0</v>
      </c>
      <c r="DI93" s="399">
        <v>-0.71452224724922964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-9.7979470204339725E-2</v>
      </c>
      <c r="DP93" s="399">
        <v>-1.1687802571787309E-2</v>
      </c>
      <c r="DQ93" s="399">
        <v>0</v>
      </c>
      <c r="DR93" s="399">
        <v>0</v>
      </c>
      <c r="DS93" s="399"/>
      <c r="DT93" s="399"/>
      <c r="DU93" s="399"/>
      <c r="DV93" s="399">
        <v>67.914716125330358</v>
      </c>
      <c r="DW93" s="399">
        <v>0</v>
      </c>
      <c r="DX93" s="399">
        <v>0</v>
      </c>
      <c r="DY93" s="399">
        <v>-30.273650000000004</v>
      </c>
      <c r="DZ93" s="399">
        <v>0</v>
      </c>
      <c r="EA93" s="399">
        <v>0</v>
      </c>
      <c r="EB93" s="399">
        <v>0</v>
      </c>
      <c r="EC93" s="399">
        <v>-29.340473833300145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218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956</v>
      </c>
      <c r="C94" s="399" t="s">
        <v>2328</v>
      </c>
      <c r="D94" s="399" t="s">
        <v>2335</v>
      </c>
      <c r="E94" s="399" t="s">
        <v>894</v>
      </c>
      <c r="F94" s="399" t="s">
        <v>2363</v>
      </c>
      <c r="G94" s="399" t="s">
        <v>2341</v>
      </c>
      <c r="H94" s="399" t="s">
        <v>1239</v>
      </c>
      <c r="I94" s="399" t="s">
        <v>1239</v>
      </c>
      <c r="J94" s="399" t="s">
        <v>2329</v>
      </c>
      <c r="K94" s="789">
        <v>44470</v>
      </c>
      <c r="L94" s="399">
        <v>0</v>
      </c>
      <c r="M94" s="399">
        <v>0</v>
      </c>
      <c r="N94" s="399">
        <v>1.861</v>
      </c>
      <c r="O94" s="399">
        <v>0.74439999999999995</v>
      </c>
      <c r="P94" s="399">
        <v>1.861</v>
      </c>
      <c r="Q94" s="399">
        <v>0.74439999999999995</v>
      </c>
      <c r="R94" s="399"/>
      <c r="S94" s="399">
        <v>521.86</v>
      </c>
      <c r="T94" s="399">
        <v>141.32</v>
      </c>
      <c r="U94" s="399"/>
      <c r="V94" s="399">
        <v>1234.1779799999999</v>
      </c>
      <c r="W94" s="399">
        <v>1234.1779799999999</v>
      </c>
      <c r="X94" s="399">
        <v>964.61212999999998</v>
      </c>
      <c r="Y94" s="399">
        <v>0</v>
      </c>
      <c r="Z94" s="399">
        <v>112.91997608044798</v>
      </c>
      <c r="AA94" s="399">
        <v>0</v>
      </c>
      <c r="AB94" s="399">
        <v>0</v>
      </c>
      <c r="AC94" s="399">
        <v>0</v>
      </c>
      <c r="AD94" s="399">
        <v>200.15762593747567</v>
      </c>
      <c r="AE94" s="399">
        <v>604.73342923081248</v>
      </c>
      <c r="AF94" s="399">
        <v>262.99452878952599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17.459887761437415</v>
      </c>
      <c r="AM94" s="399"/>
      <c r="AN94" s="399">
        <v>2.5809588979483706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33.321015198464856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/>
      <c r="BS94" s="399">
        <v>625.06895799999995</v>
      </c>
      <c r="BT94" s="399"/>
      <c r="BU94" s="399"/>
      <c r="BV94" s="399">
        <v>296.31554398799085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337.53620000000001</v>
      </c>
      <c r="CJ94" s="399">
        <v>-96.918195999999966</v>
      </c>
      <c r="CK94" s="399"/>
      <c r="CL94" s="399"/>
      <c r="CM94" s="399"/>
      <c r="CN94" s="399"/>
      <c r="CO94" s="399">
        <v>-269.56585000000007</v>
      </c>
      <c r="CP94" s="399">
        <v>0</v>
      </c>
      <c r="CQ94" s="399">
        <v>31</v>
      </c>
      <c r="CR94" s="399">
        <v>-8.2921272255848635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-0.95329135588542613</v>
      </c>
      <c r="DA94" s="399">
        <v>0</v>
      </c>
      <c r="DB94" s="399">
        <v>0</v>
      </c>
      <c r="DC94" s="399">
        <v>0</v>
      </c>
      <c r="DD94" s="399">
        <v>0</v>
      </c>
      <c r="DE94" s="399">
        <v>0</v>
      </c>
      <c r="DF94" s="399">
        <v>0</v>
      </c>
      <c r="DG94" s="399">
        <v>0</v>
      </c>
      <c r="DH94" s="399">
        <v>0</v>
      </c>
      <c r="DI94" s="399">
        <v>-6.3623248905780656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-0.87243920598218239</v>
      </c>
      <c r="DP94" s="399">
        <v>-0.10407177313921645</v>
      </c>
      <c r="DQ94" s="399">
        <v>0</v>
      </c>
      <c r="DR94" s="399">
        <v>0</v>
      </c>
      <c r="DS94" s="399"/>
      <c r="DT94" s="399"/>
      <c r="DU94" s="399"/>
      <c r="DV94" s="399">
        <v>604.73342923081248</v>
      </c>
      <c r="DW94" s="399">
        <v>0</v>
      </c>
      <c r="DX94" s="399">
        <v>0</v>
      </c>
      <c r="DY94" s="399">
        <v>-269.56585000000007</v>
      </c>
      <c r="DZ94" s="399">
        <v>0</v>
      </c>
      <c r="EA94" s="399">
        <v>0</v>
      </c>
      <c r="EB94" s="399">
        <v>0</v>
      </c>
      <c r="EC94" s="399">
        <v>-261.25656365440943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218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2361</v>
      </c>
      <c r="C95" s="399" t="s">
        <v>2328</v>
      </c>
      <c r="D95" s="399" t="s">
        <v>2335</v>
      </c>
      <c r="E95" s="399" t="s">
        <v>894</v>
      </c>
      <c r="F95" s="399" t="s">
        <v>2363</v>
      </c>
      <c r="G95" s="399" t="s">
        <v>2341</v>
      </c>
      <c r="H95" s="399" t="s">
        <v>1239</v>
      </c>
      <c r="I95" s="399" t="s">
        <v>1239</v>
      </c>
      <c r="J95" s="399" t="s">
        <v>2329</v>
      </c>
      <c r="K95" s="789">
        <v>44470</v>
      </c>
      <c r="L95" s="399">
        <v>0</v>
      </c>
      <c r="M95" s="399">
        <v>0</v>
      </c>
      <c r="N95" s="399">
        <v>5.0000000000000001E-3</v>
      </c>
      <c r="O95" s="399">
        <v>2E-3</v>
      </c>
      <c r="P95" s="399">
        <v>5.0000000000000001E-3</v>
      </c>
      <c r="Q95" s="399">
        <v>2E-3</v>
      </c>
      <c r="R95" s="399"/>
      <c r="S95" s="399">
        <v>521.86</v>
      </c>
      <c r="T95" s="399">
        <v>141.32</v>
      </c>
      <c r="U95" s="399"/>
      <c r="V95" s="399">
        <v>3.3159000000000001</v>
      </c>
      <c r="W95" s="399">
        <v>3.3159000000000001</v>
      </c>
      <c r="X95" s="399">
        <v>2.59165</v>
      </c>
      <c r="Y95" s="399">
        <v>0</v>
      </c>
      <c r="Z95" s="399">
        <v>0.30338521246761951</v>
      </c>
      <c r="AA95" s="399">
        <v>0</v>
      </c>
      <c r="AB95" s="399">
        <v>0</v>
      </c>
      <c r="AC95" s="399">
        <v>0</v>
      </c>
      <c r="AD95" s="399">
        <v>0.53776901111626996</v>
      </c>
      <c r="AE95" s="399">
        <v>1.6247539742902002</v>
      </c>
      <c r="AF95" s="399">
        <v>0.70659465015993006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4.6909961744861402E-2</v>
      </c>
      <c r="AM95" s="399"/>
      <c r="AN95" s="399">
        <v>6.9343334173787496E-3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8.9524490054983502E-2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>
        <v>1.6793899999999999</v>
      </c>
      <c r="BT95" s="399"/>
      <c r="BU95" s="399"/>
      <c r="BV95" s="399">
        <v>0.79611914021491359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0</v>
      </c>
      <c r="CJ95" s="399">
        <v>-1.1971800000000001</v>
      </c>
      <c r="CK95" s="399"/>
      <c r="CL95" s="399"/>
      <c r="CM95" s="399"/>
      <c r="CN95" s="399"/>
      <c r="CO95" s="399">
        <v>-0.72425000000000017</v>
      </c>
      <c r="CP95" s="399">
        <v>0</v>
      </c>
      <c r="CQ95" s="399">
        <v>31</v>
      </c>
      <c r="CR95" s="399">
        <v>-2.2278686796305625E-2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-2.5612341641199077E-3</v>
      </c>
      <c r="DA95" s="399">
        <v>0</v>
      </c>
      <c r="DB95" s="399">
        <v>0</v>
      </c>
      <c r="DC95" s="399">
        <v>0</v>
      </c>
      <c r="DD95" s="399">
        <v>0</v>
      </c>
      <c r="DE95" s="399">
        <v>0</v>
      </c>
      <c r="DF95" s="399">
        <v>0</v>
      </c>
      <c r="DG95" s="399">
        <v>0</v>
      </c>
      <c r="DH95" s="399">
        <v>0</v>
      </c>
      <c r="DI95" s="399">
        <v>-1.7093833666249503E-2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-2.3440064642186523E-3</v>
      </c>
      <c r="DP95" s="399">
        <v>-2.7961250171739966E-4</v>
      </c>
      <c r="DQ95" s="399">
        <v>0</v>
      </c>
      <c r="DR95" s="399">
        <v>0</v>
      </c>
      <c r="DS95" s="399"/>
      <c r="DT95" s="399"/>
      <c r="DU95" s="399"/>
      <c r="DV95" s="399">
        <v>1.6247539742902002</v>
      </c>
      <c r="DW95" s="399">
        <v>0</v>
      </c>
      <c r="DX95" s="399">
        <v>0</v>
      </c>
      <c r="DY95" s="399">
        <v>-0.72425000000000028</v>
      </c>
      <c r="DZ95" s="399">
        <v>0</v>
      </c>
      <c r="EA95" s="399">
        <v>0</v>
      </c>
      <c r="EB95" s="399">
        <v>0</v>
      </c>
      <c r="EC95" s="399">
        <v>-0.70192521132297014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218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956</v>
      </c>
      <c r="C96" s="399" t="s">
        <v>2328</v>
      </c>
      <c r="D96" s="399" t="s">
        <v>2335</v>
      </c>
      <c r="E96" s="399" t="s">
        <v>894</v>
      </c>
      <c r="F96" s="399" t="s">
        <v>2342</v>
      </c>
      <c r="G96" s="399" t="s">
        <v>2340</v>
      </c>
      <c r="H96" s="399" t="s">
        <v>1239</v>
      </c>
      <c r="I96" s="399" t="s">
        <v>1239</v>
      </c>
      <c r="J96" s="399" t="s">
        <v>2329</v>
      </c>
      <c r="K96" s="789">
        <v>44470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76.47</v>
      </c>
      <c r="BJ96" s="399">
        <v>353.27</v>
      </c>
      <c r="BK96" s="399">
        <v>2930.88</v>
      </c>
      <c r="BL96" s="399">
        <v>18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31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218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2361</v>
      </c>
      <c r="C97" s="399" t="s">
        <v>2328</v>
      </c>
      <c r="D97" s="399" t="s">
        <v>2335</v>
      </c>
      <c r="E97" s="399" t="s">
        <v>894</v>
      </c>
      <c r="F97" s="399" t="s">
        <v>2342</v>
      </c>
      <c r="G97" s="399" t="s">
        <v>2340</v>
      </c>
      <c r="H97" s="399" t="s">
        <v>1239</v>
      </c>
      <c r="I97" s="399" t="s">
        <v>1239</v>
      </c>
      <c r="J97" s="399" t="s">
        <v>2329</v>
      </c>
      <c r="K97" s="789">
        <v>44470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1.68</v>
      </c>
      <c r="BJ97" s="399">
        <v>7.84</v>
      </c>
      <c r="BK97" s="399">
        <v>330.32</v>
      </c>
      <c r="BL97" s="399">
        <v>3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>
        <v>31</v>
      </c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218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956</v>
      </c>
      <c r="C98" s="399" t="s">
        <v>2328</v>
      </c>
      <c r="D98" s="399" t="s">
        <v>2335</v>
      </c>
      <c r="E98" s="399" t="s">
        <v>894</v>
      </c>
      <c r="F98" s="399" t="s">
        <v>2342</v>
      </c>
      <c r="G98" s="399" t="s">
        <v>2340</v>
      </c>
      <c r="H98" s="399" t="s">
        <v>1239</v>
      </c>
      <c r="I98" s="399" t="s">
        <v>1239</v>
      </c>
      <c r="J98" s="399" t="s">
        <v>2329</v>
      </c>
      <c r="K98" s="789">
        <v>44470</v>
      </c>
      <c r="L98" s="399">
        <v>0</v>
      </c>
      <c r="M98" s="399">
        <v>0</v>
      </c>
      <c r="N98" s="399">
        <v>7.407</v>
      </c>
      <c r="O98" s="399">
        <v>7.407</v>
      </c>
      <c r="P98" s="399">
        <v>7.407</v>
      </c>
      <c r="Q98" s="399">
        <v>7.407</v>
      </c>
      <c r="R98" s="399"/>
      <c r="S98" s="399">
        <v>521.86</v>
      </c>
      <c r="T98" s="399">
        <v>141.32</v>
      </c>
      <c r="U98" s="399"/>
      <c r="V98" s="399">
        <v>4912.1742599999998</v>
      </c>
      <c r="W98" s="399">
        <v>4912.1742599999998</v>
      </c>
      <c r="X98" s="399">
        <v>3839.2703099999999</v>
      </c>
      <c r="Y98" s="399">
        <v>0</v>
      </c>
      <c r="Z98" s="399">
        <v>449.4348537495315</v>
      </c>
      <c r="AA98" s="399">
        <v>0</v>
      </c>
      <c r="AB98" s="399">
        <v>0</v>
      </c>
      <c r="AC98" s="399">
        <v>0</v>
      </c>
      <c r="AD98" s="399">
        <v>796.65101306764234</v>
      </c>
      <c r="AE98" s="399">
        <v>2406.9105375135023</v>
      </c>
      <c r="AF98" s="399">
        <v>1046.7493147469204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69.492417328837689</v>
      </c>
      <c r="AM98" s="399"/>
      <c r="AN98" s="399">
        <v>10.27252152450488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132.62157956745256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>
        <v>460.71540000000005</v>
      </c>
      <c r="BS98" s="399"/>
      <c r="BT98" s="399"/>
      <c r="BU98" s="399"/>
      <c r="BV98" s="399">
        <v>1179.3708943143729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3379.9232999999999</v>
      </c>
      <c r="CJ98" s="399">
        <v>-942.75783000000092</v>
      </c>
      <c r="CK98" s="399"/>
      <c r="CL98" s="399"/>
      <c r="CM98" s="399"/>
      <c r="CN98" s="399"/>
      <c r="CO98" s="399">
        <v>-1072.9039500000001</v>
      </c>
      <c r="CP98" s="399">
        <v>0</v>
      </c>
      <c r="CQ98" s="399">
        <v>31</v>
      </c>
      <c r="CR98" s="399">
        <v>-33.00364662004722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-3.7942122907272733</v>
      </c>
      <c r="DA98" s="399">
        <v>0</v>
      </c>
      <c r="DB98" s="399">
        <v>0</v>
      </c>
      <c r="DC98" s="399">
        <v>0</v>
      </c>
      <c r="DD98" s="399">
        <v>0</v>
      </c>
      <c r="DE98" s="399">
        <v>0</v>
      </c>
      <c r="DF98" s="399">
        <v>0</v>
      </c>
      <c r="DG98" s="399">
        <v>0</v>
      </c>
      <c r="DH98" s="399">
        <v>0</v>
      </c>
      <c r="DI98" s="399">
        <v>-25.322805193181978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-3.4724111760935159</v>
      </c>
      <c r="DP98" s="399">
        <v>-0.4142179600441569</v>
      </c>
      <c r="DQ98" s="399">
        <v>0</v>
      </c>
      <c r="DR98" s="399">
        <v>0</v>
      </c>
      <c r="DS98" s="399"/>
      <c r="DT98" s="399"/>
      <c r="DU98" s="399"/>
      <c r="DV98" s="399">
        <v>2406.9105375135023</v>
      </c>
      <c r="DW98" s="399">
        <v>0</v>
      </c>
      <c r="DX98" s="399">
        <v>0</v>
      </c>
      <c r="DY98" s="399">
        <v>-1072.9039500000003</v>
      </c>
      <c r="DZ98" s="399">
        <v>0</v>
      </c>
      <c r="EA98" s="399">
        <v>0</v>
      </c>
      <c r="EB98" s="399">
        <v>0</v>
      </c>
      <c r="EC98" s="399">
        <v>-1039.8320080538476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218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2361</v>
      </c>
      <c r="C99" s="399" t="s">
        <v>2328</v>
      </c>
      <c r="D99" s="399" t="s">
        <v>2335</v>
      </c>
      <c r="E99" s="399" t="s">
        <v>894</v>
      </c>
      <c r="F99" s="399" t="s">
        <v>2342</v>
      </c>
      <c r="G99" s="399" t="s">
        <v>2340</v>
      </c>
      <c r="H99" s="399" t="s">
        <v>1239</v>
      </c>
      <c r="I99" s="399" t="s">
        <v>1239</v>
      </c>
      <c r="J99" s="399" t="s">
        <v>2329</v>
      </c>
      <c r="K99" s="789">
        <v>44470</v>
      </c>
      <c r="L99" s="399">
        <v>0</v>
      </c>
      <c r="M99" s="399">
        <v>0</v>
      </c>
      <c r="N99" s="399">
        <v>0.05</v>
      </c>
      <c r="O99" s="399">
        <v>0.05</v>
      </c>
      <c r="P99" s="399">
        <v>0.05</v>
      </c>
      <c r="Q99" s="399">
        <v>0.05</v>
      </c>
      <c r="R99" s="399"/>
      <c r="S99" s="399">
        <v>521.86</v>
      </c>
      <c r="T99" s="399">
        <v>141.32</v>
      </c>
      <c r="U99" s="399"/>
      <c r="V99" s="399">
        <v>33.159000000000006</v>
      </c>
      <c r="W99" s="399">
        <v>33.159000000000006</v>
      </c>
      <c r="X99" s="399">
        <v>25.916499999999999</v>
      </c>
      <c r="Y99" s="399">
        <v>0</v>
      </c>
      <c r="Z99" s="399">
        <v>3.0338521246761951</v>
      </c>
      <c r="AA99" s="399">
        <v>0</v>
      </c>
      <c r="AB99" s="399">
        <v>0</v>
      </c>
      <c r="AC99" s="399">
        <v>0</v>
      </c>
      <c r="AD99" s="399">
        <v>5.3776901111626998</v>
      </c>
      <c r="AE99" s="399">
        <v>16.247539742902003</v>
      </c>
      <c r="AF99" s="399">
        <v>7.065946501599301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0.46909961744861406</v>
      </c>
      <c r="AM99" s="399"/>
      <c r="AN99" s="399">
        <v>6.9343334173787505E-2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0.89524490054983508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>
        <v>3.1100000000000003</v>
      </c>
      <c r="BS99" s="399"/>
      <c r="BT99" s="399"/>
      <c r="BU99" s="399"/>
      <c r="BV99" s="399">
        <v>7.9611914021491366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22.8065</v>
      </c>
      <c r="CJ99" s="399">
        <v>-6.4030000000000058</v>
      </c>
      <c r="CK99" s="399"/>
      <c r="CL99" s="399"/>
      <c r="CM99" s="399"/>
      <c r="CN99" s="399"/>
      <c r="CO99" s="399">
        <v>-7.2425000000000015</v>
      </c>
      <c r="CP99" s="399">
        <v>0</v>
      </c>
      <c r="CQ99" s="399">
        <v>31</v>
      </c>
      <c r="CR99" s="399">
        <v>-0.2227868679630518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-2.5612341641199521E-2</v>
      </c>
      <c r="DA99" s="399">
        <v>0</v>
      </c>
      <c r="DB99" s="399">
        <v>0</v>
      </c>
      <c r="DC99" s="399">
        <v>0</v>
      </c>
      <c r="DD99" s="399">
        <v>0</v>
      </c>
      <c r="DE99" s="399">
        <v>0</v>
      </c>
      <c r="DF99" s="399">
        <v>0</v>
      </c>
      <c r="DG99" s="399">
        <v>0</v>
      </c>
      <c r="DH99" s="399">
        <v>0</v>
      </c>
      <c r="DI99" s="399">
        <v>-0.17093833666249481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-2.3440064642186509E-2</v>
      </c>
      <c r="DP99" s="399">
        <v>-2.7961250171740087E-3</v>
      </c>
      <c r="DQ99" s="399">
        <v>0</v>
      </c>
      <c r="DR99" s="399">
        <v>0</v>
      </c>
      <c r="DS99" s="399"/>
      <c r="DT99" s="399"/>
      <c r="DU99" s="399"/>
      <c r="DV99" s="399">
        <v>16.247539742902003</v>
      </c>
      <c r="DW99" s="399">
        <v>0</v>
      </c>
      <c r="DX99" s="399">
        <v>0</v>
      </c>
      <c r="DY99" s="399">
        <v>-7.2425000000000033</v>
      </c>
      <c r="DZ99" s="399">
        <v>0</v>
      </c>
      <c r="EA99" s="399">
        <v>0</v>
      </c>
      <c r="EB99" s="399">
        <v>0</v>
      </c>
      <c r="EC99" s="399">
        <v>-7.0192521132297028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218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956</v>
      </c>
      <c r="C100" s="399" t="s">
        <v>2328</v>
      </c>
      <c r="D100" s="399" t="s">
        <v>2335</v>
      </c>
      <c r="E100" s="399" t="s">
        <v>894</v>
      </c>
      <c r="F100" s="399" t="s">
        <v>2342</v>
      </c>
      <c r="G100" s="399" t="s">
        <v>2341</v>
      </c>
      <c r="H100" s="399" t="s">
        <v>1239</v>
      </c>
      <c r="I100" s="399" t="s">
        <v>1239</v>
      </c>
      <c r="J100" s="399" t="s">
        <v>2329</v>
      </c>
      <c r="K100" s="789">
        <v>44470</v>
      </c>
      <c r="L100" s="399">
        <v>0</v>
      </c>
      <c r="M100" s="399">
        <v>0</v>
      </c>
      <c r="N100" s="399">
        <v>9.8000000000000007</v>
      </c>
      <c r="O100" s="399">
        <v>3.92</v>
      </c>
      <c r="P100" s="399">
        <v>9.8000000000000007</v>
      </c>
      <c r="Q100" s="399">
        <v>3.92</v>
      </c>
      <c r="R100" s="399"/>
      <c r="S100" s="399">
        <v>521.86</v>
      </c>
      <c r="T100" s="399">
        <v>141.32</v>
      </c>
      <c r="U100" s="399"/>
      <c r="V100" s="399">
        <v>6499.1639999999998</v>
      </c>
      <c r="W100" s="399">
        <v>6499.1639999999998</v>
      </c>
      <c r="X100" s="399">
        <v>5079.634</v>
      </c>
      <c r="Y100" s="399">
        <v>0</v>
      </c>
      <c r="Z100" s="399">
        <v>594.63501643653422</v>
      </c>
      <c r="AA100" s="399">
        <v>0</v>
      </c>
      <c r="AB100" s="399">
        <v>0</v>
      </c>
      <c r="AC100" s="399">
        <v>0</v>
      </c>
      <c r="AD100" s="399">
        <v>1054.0272617878893</v>
      </c>
      <c r="AE100" s="399">
        <v>3184.5177896087926</v>
      </c>
      <c r="AF100" s="399">
        <v>1384.9255143134631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91.943525019928359</v>
      </c>
      <c r="AM100" s="399"/>
      <c r="AN100" s="399">
        <v>13.591293498062351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175.46800050776767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>
        <v>3291.6044000000006</v>
      </c>
      <c r="BT100" s="399"/>
      <c r="BU100" s="399"/>
      <c r="BV100" s="399">
        <v>1560.3935148212308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1788.0295999999998</v>
      </c>
      <c r="CJ100" s="399">
        <v>-499.67320000000063</v>
      </c>
      <c r="CK100" s="399"/>
      <c r="CL100" s="399"/>
      <c r="CM100" s="399"/>
      <c r="CN100" s="399"/>
      <c r="CO100" s="399">
        <v>-1419.5300000000004</v>
      </c>
      <c r="CP100" s="399">
        <v>0</v>
      </c>
      <c r="CQ100" s="399">
        <v>31</v>
      </c>
      <c r="CR100" s="399">
        <v>-43.666226120759347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-5.0200189616750777</v>
      </c>
      <c r="DA100" s="399">
        <v>0</v>
      </c>
      <c r="DB100" s="399">
        <v>0</v>
      </c>
      <c r="DC100" s="399">
        <v>0</v>
      </c>
      <c r="DD100" s="399">
        <v>0</v>
      </c>
      <c r="DE100" s="399">
        <v>0</v>
      </c>
      <c r="DF100" s="399">
        <v>0</v>
      </c>
      <c r="DG100" s="399">
        <v>0</v>
      </c>
      <c r="DH100" s="399">
        <v>0</v>
      </c>
      <c r="DI100" s="399">
        <v>-33.503913985848953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-4.5942526698685668</v>
      </c>
      <c r="DP100" s="399">
        <v>-0.54804050336610466</v>
      </c>
      <c r="DQ100" s="399">
        <v>0</v>
      </c>
      <c r="DR100" s="399">
        <v>0</v>
      </c>
      <c r="DS100" s="399"/>
      <c r="DT100" s="399"/>
      <c r="DU100" s="399"/>
      <c r="DV100" s="399">
        <v>3184.5177896087926</v>
      </c>
      <c r="DW100" s="399">
        <v>0</v>
      </c>
      <c r="DX100" s="399">
        <v>0</v>
      </c>
      <c r="DY100" s="399">
        <v>-1419.5299999999997</v>
      </c>
      <c r="DZ100" s="399">
        <v>0</v>
      </c>
      <c r="EA100" s="399">
        <v>0</v>
      </c>
      <c r="EB100" s="399">
        <v>0</v>
      </c>
      <c r="EC100" s="399">
        <v>-1375.7734141930216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218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2361</v>
      </c>
      <c r="C101" s="399" t="s">
        <v>2328</v>
      </c>
      <c r="D101" s="399" t="s">
        <v>2335</v>
      </c>
      <c r="E101" s="399" t="s">
        <v>894</v>
      </c>
      <c r="F101" s="399" t="s">
        <v>2342</v>
      </c>
      <c r="G101" s="399" t="s">
        <v>2341</v>
      </c>
      <c r="H101" s="399" t="s">
        <v>1239</v>
      </c>
      <c r="I101" s="399" t="s">
        <v>1239</v>
      </c>
      <c r="J101" s="399" t="s">
        <v>2329</v>
      </c>
      <c r="K101" s="789">
        <v>44470</v>
      </c>
      <c r="L101" s="399">
        <v>0</v>
      </c>
      <c r="M101" s="399">
        <v>0</v>
      </c>
      <c r="N101" s="399">
        <v>0.33200000000000002</v>
      </c>
      <c r="O101" s="399">
        <v>0.1328</v>
      </c>
      <c r="P101" s="399">
        <v>0.33200000000000002</v>
      </c>
      <c r="Q101" s="399">
        <v>0.1328</v>
      </c>
      <c r="R101" s="399"/>
      <c r="S101" s="399">
        <v>521.86</v>
      </c>
      <c r="T101" s="399">
        <v>141.32</v>
      </c>
      <c r="U101" s="399"/>
      <c r="V101" s="399">
        <v>220.17576</v>
      </c>
      <c r="W101" s="399">
        <v>220.17576</v>
      </c>
      <c r="X101" s="399">
        <v>172.08555999999999</v>
      </c>
      <c r="Y101" s="399">
        <v>0</v>
      </c>
      <c r="Z101" s="399">
        <v>20.144778107849934</v>
      </c>
      <c r="AA101" s="399">
        <v>0</v>
      </c>
      <c r="AB101" s="399">
        <v>0</v>
      </c>
      <c r="AC101" s="399">
        <v>0</v>
      </c>
      <c r="AD101" s="399">
        <v>35.707862338120329</v>
      </c>
      <c r="AE101" s="399">
        <v>107.88366389286929</v>
      </c>
      <c r="AF101" s="399">
        <v>46.917884770619359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3.1148214598587973</v>
      </c>
      <c r="AM101" s="399"/>
      <c r="AN101" s="399">
        <v>0.46043973891394901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5.944426139650905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>
        <v>111.51149600000001</v>
      </c>
      <c r="BT101" s="399"/>
      <c r="BU101" s="399"/>
      <c r="BV101" s="399">
        <v>52.862310910270267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59.296900000000001</v>
      </c>
      <c r="CJ101" s="399">
        <v>-18.233852000000006</v>
      </c>
      <c r="CK101" s="399"/>
      <c r="CL101" s="399"/>
      <c r="CM101" s="399"/>
      <c r="CN101" s="399"/>
      <c r="CO101" s="399">
        <v>-48.09020000000001</v>
      </c>
      <c r="CP101" s="399">
        <v>0</v>
      </c>
      <c r="CQ101" s="399">
        <v>31</v>
      </c>
      <c r="CR101" s="399">
        <v>-1.4793048032747009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-0.17006594849756596</v>
      </c>
      <c r="DA101" s="399">
        <v>0</v>
      </c>
      <c r="DB101" s="399">
        <v>0</v>
      </c>
      <c r="DC101" s="399">
        <v>0</v>
      </c>
      <c r="DD101" s="399">
        <v>0</v>
      </c>
      <c r="DE101" s="399">
        <v>0</v>
      </c>
      <c r="DF101" s="399">
        <v>0</v>
      </c>
      <c r="DG101" s="399">
        <v>0</v>
      </c>
      <c r="DH101" s="399">
        <v>0</v>
      </c>
      <c r="DI101" s="399">
        <v>-1.1350305554389628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-0.15564202922411852</v>
      </c>
      <c r="DP101" s="399">
        <v>-1.8566270114035388E-2</v>
      </c>
      <c r="DQ101" s="399">
        <v>0</v>
      </c>
      <c r="DR101" s="399">
        <v>0</v>
      </c>
      <c r="DS101" s="399"/>
      <c r="DT101" s="399"/>
      <c r="DU101" s="399"/>
      <c r="DV101" s="399">
        <v>107.88366389286929</v>
      </c>
      <c r="DW101" s="399">
        <v>0</v>
      </c>
      <c r="DX101" s="399">
        <v>0</v>
      </c>
      <c r="DY101" s="399">
        <v>-48.090199999999996</v>
      </c>
      <c r="DZ101" s="399">
        <v>0</v>
      </c>
      <c r="EA101" s="399">
        <v>0</v>
      </c>
      <c r="EB101" s="399">
        <v>0</v>
      </c>
      <c r="EC101" s="399">
        <v>-46.607834031845215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218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956</v>
      </c>
      <c r="C102" s="399" t="s">
        <v>2328</v>
      </c>
      <c r="D102" s="399" t="s">
        <v>1823</v>
      </c>
      <c r="E102" s="399" t="s">
        <v>889</v>
      </c>
      <c r="F102" s="399" t="s">
        <v>889</v>
      </c>
      <c r="G102" s="399" t="s">
        <v>1239</v>
      </c>
      <c r="H102" s="399" t="s">
        <v>1239</v>
      </c>
      <c r="I102" s="399" t="s">
        <v>1239</v>
      </c>
      <c r="J102" s="399" t="s">
        <v>2329</v>
      </c>
      <c r="K102" s="789">
        <v>44501</v>
      </c>
      <c r="L102" s="399">
        <v>0</v>
      </c>
      <c r="M102" s="399">
        <v>0</v>
      </c>
      <c r="N102" s="399">
        <v>774.56399999999996</v>
      </c>
      <c r="O102" s="399">
        <v>774.56399999999996</v>
      </c>
      <c r="P102" s="399">
        <v>774.56399999999996</v>
      </c>
      <c r="Q102" s="399">
        <v>774.56399999999996</v>
      </c>
      <c r="R102" s="399"/>
      <c r="S102" s="399">
        <v>521.86</v>
      </c>
      <c r="T102" s="399">
        <v>141.32</v>
      </c>
      <c r="U102" s="399"/>
      <c r="V102" s="399">
        <v>513675.35352</v>
      </c>
      <c r="W102" s="399">
        <v>513675.35352</v>
      </c>
      <c r="X102" s="399">
        <v>401479.75812000001</v>
      </c>
      <c r="Y102" s="399">
        <v>0</v>
      </c>
      <c r="Z102" s="399">
        <v>46998.252741953846</v>
      </c>
      <c r="AA102" s="399">
        <v>0</v>
      </c>
      <c r="AB102" s="399">
        <v>0</v>
      </c>
      <c r="AC102" s="399">
        <v>0</v>
      </c>
      <c r="AD102" s="399">
        <v>83307.3032652525</v>
      </c>
      <c r="AE102" s="399">
        <v>251695.1874684229</v>
      </c>
      <c r="AF102" s="399">
        <v>109460.55572129521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7266.9535217893654</v>
      </c>
      <c r="AM102" s="399"/>
      <c r="AN102" s="399">
        <v>1074.2170058197107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13868.489422989647</v>
      </c>
      <c r="BH102" s="399">
        <v>0</v>
      </c>
      <c r="BI102" s="399">
        <v>3430.41</v>
      </c>
      <c r="BJ102" s="399">
        <v>15923.01</v>
      </c>
      <c r="BK102" s="399">
        <v>109333.19</v>
      </c>
      <c r="BL102" s="399">
        <v>4048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123329.04514428486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401477.68479999993</v>
      </c>
      <c r="CJ102" s="399">
        <v>-112197.6987200001</v>
      </c>
      <c r="CK102" s="399"/>
      <c r="CL102" s="399"/>
      <c r="CM102" s="399"/>
      <c r="CN102" s="399"/>
      <c r="CO102" s="399">
        <v>-112195.59540000001</v>
      </c>
      <c r="CP102" s="399">
        <v>0</v>
      </c>
      <c r="CQ102" s="399">
        <v>30</v>
      </c>
      <c r="CR102" s="399">
        <v>-3451.2537519387261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-396.76795581947954</v>
      </c>
      <c r="DA102" s="399">
        <v>0</v>
      </c>
      <c r="DB102" s="399">
        <v>0</v>
      </c>
      <c r="DC102" s="399">
        <v>0</v>
      </c>
      <c r="DD102" s="399">
        <v>0</v>
      </c>
      <c r="DE102" s="399">
        <v>0</v>
      </c>
      <c r="DF102" s="399">
        <v>0</v>
      </c>
      <c r="DG102" s="399">
        <v>0</v>
      </c>
      <c r="DH102" s="399">
        <v>0</v>
      </c>
      <c r="DI102" s="399">
        <v>-2648.053635972974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-363.11660459021095</v>
      </c>
      <c r="DP102" s="399">
        <v>-43.315555556047229</v>
      </c>
      <c r="DQ102" s="399">
        <v>0</v>
      </c>
      <c r="DR102" s="399">
        <v>0</v>
      </c>
      <c r="DS102" s="399"/>
      <c r="DT102" s="399"/>
      <c r="DU102" s="399"/>
      <c r="DV102" s="399">
        <v>251695.1874684229</v>
      </c>
      <c r="DW102" s="399">
        <v>0</v>
      </c>
      <c r="DX102" s="399">
        <v>0</v>
      </c>
      <c r="DY102" s="399">
        <v>-112195.59539999999</v>
      </c>
      <c r="DZ102" s="399">
        <v>0</v>
      </c>
      <c r="EA102" s="399">
        <v>0</v>
      </c>
      <c r="EB102" s="399">
        <v>0</v>
      </c>
      <c r="EC102" s="399">
        <v>-108737.19987663298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218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2360</v>
      </c>
      <c r="C103" s="399" t="s">
        <v>2328</v>
      </c>
      <c r="D103" s="399" t="s">
        <v>1823</v>
      </c>
      <c r="E103" s="399" t="s">
        <v>889</v>
      </c>
      <c r="F103" s="399" t="s">
        <v>889</v>
      </c>
      <c r="G103" s="399" t="s">
        <v>1239</v>
      </c>
      <c r="H103" s="399" t="s">
        <v>1239</v>
      </c>
      <c r="I103" s="399" t="s">
        <v>1239</v>
      </c>
      <c r="J103" s="399" t="s">
        <v>2329</v>
      </c>
      <c r="K103" s="789">
        <v>44501</v>
      </c>
      <c r="L103" s="399">
        <v>0</v>
      </c>
      <c r="M103" s="399">
        <v>0</v>
      </c>
      <c r="N103" s="399">
        <v>-0.14099999999999999</v>
      </c>
      <c r="O103" s="399">
        <v>-0.14099999999999999</v>
      </c>
      <c r="P103" s="399">
        <v>-0.14099999999999999</v>
      </c>
      <c r="Q103" s="399">
        <v>-0.14099999999999999</v>
      </c>
      <c r="R103" s="399"/>
      <c r="S103" s="399">
        <v>521.86</v>
      </c>
      <c r="T103" s="399">
        <v>141.32</v>
      </c>
      <c r="U103" s="399"/>
      <c r="V103" s="399">
        <v>-93.508379999999988</v>
      </c>
      <c r="W103" s="399">
        <v>-93.508379999999988</v>
      </c>
      <c r="X103" s="399">
        <v>-73.084530000000001</v>
      </c>
      <c r="Y103" s="399">
        <v>0</v>
      </c>
      <c r="Z103" s="399">
        <v>-8.5554629915868698</v>
      </c>
      <c r="AA103" s="399">
        <v>0</v>
      </c>
      <c r="AB103" s="399">
        <v>0</v>
      </c>
      <c r="AC103" s="399">
        <v>0</v>
      </c>
      <c r="AD103" s="399">
        <v>-15.165086113478813</v>
      </c>
      <c r="AE103" s="399">
        <v>-45.818062074983636</v>
      </c>
      <c r="AF103" s="399">
        <v>-19.925969134510026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-1.3228609212050915</v>
      </c>
      <c r="AM103" s="399"/>
      <c r="AN103" s="399">
        <v>-0.19554820237008072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-2.5245906195505343</v>
      </c>
      <c r="BH103" s="399">
        <v>0</v>
      </c>
      <c r="BI103" s="399">
        <v>-0.62</v>
      </c>
      <c r="BJ103" s="399">
        <v>-2.88</v>
      </c>
      <c r="BK103" s="399">
        <v>-31.98</v>
      </c>
      <c r="BL103" s="399">
        <v>0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-22.45055975406056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-72.566200000000009</v>
      </c>
      <c r="CJ103" s="399">
        <v>20.912179999999964</v>
      </c>
      <c r="CK103" s="399"/>
      <c r="CL103" s="399"/>
      <c r="CM103" s="399"/>
      <c r="CN103" s="399"/>
      <c r="CO103" s="399">
        <v>20.423850000000002</v>
      </c>
      <c r="CP103" s="399">
        <v>0</v>
      </c>
      <c r="CQ103" s="399">
        <v>30</v>
      </c>
      <c r="CR103" s="399">
        <v>0.62825896765581746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7.2226803428183217E-2</v>
      </c>
      <c r="DA103" s="399">
        <v>0</v>
      </c>
      <c r="DB103" s="399">
        <v>0</v>
      </c>
      <c r="DC103" s="399">
        <v>0</v>
      </c>
      <c r="DD103" s="399">
        <v>0</v>
      </c>
      <c r="DE103" s="399">
        <v>0</v>
      </c>
      <c r="DF103" s="399">
        <v>0</v>
      </c>
      <c r="DG103" s="399">
        <v>0</v>
      </c>
      <c r="DH103" s="399">
        <v>0</v>
      </c>
      <c r="DI103" s="399">
        <v>0.48204610938823578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6.6100982290965948E-2</v>
      </c>
      <c r="DP103" s="399">
        <v>7.8850725484306827E-3</v>
      </c>
      <c r="DQ103" s="399">
        <v>0</v>
      </c>
      <c r="DR103" s="399">
        <v>0</v>
      </c>
      <c r="DS103" s="399"/>
      <c r="DT103" s="399"/>
      <c r="DU103" s="399"/>
      <c r="DV103" s="399">
        <v>-45.818062074983636</v>
      </c>
      <c r="DW103" s="399">
        <v>0</v>
      </c>
      <c r="DX103" s="399">
        <v>0</v>
      </c>
      <c r="DY103" s="399">
        <v>20.423849999999995</v>
      </c>
      <c r="DZ103" s="399">
        <v>0</v>
      </c>
      <c r="EA103" s="399">
        <v>0</v>
      </c>
      <c r="EB103" s="399">
        <v>0</v>
      </c>
      <c r="EC103" s="399">
        <v>19.794290959307752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218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2361</v>
      </c>
      <c r="C104" s="399" t="s">
        <v>2328</v>
      </c>
      <c r="D104" s="399" t="s">
        <v>1823</v>
      </c>
      <c r="E104" s="399" t="s">
        <v>889</v>
      </c>
      <c r="F104" s="399" t="s">
        <v>889</v>
      </c>
      <c r="G104" s="399" t="s">
        <v>1239</v>
      </c>
      <c r="H104" s="399" t="s">
        <v>1239</v>
      </c>
      <c r="I104" s="399" t="s">
        <v>1239</v>
      </c>
      <c r="J104" s="399" t="s">
        <v>2329</v>
      </c>
      <c r="K104" s="789">
        <v>44501</v>
      </c>
      <c r="L104" s="399">
        <v>0</v>
      </c>
      <c r="M104" s="399">
        <v>0</v>
      </c>
      <c r="N104" s="399">
        <v>7.3639999999999999</v>
      </c>
      <c r="O104" s="399">
        <v>7.3639999999999999</v>
      </c>
      <c r="P104" s="399">
        <v>7.3639999999999999</v>
      </c>
      <c r="Q104" s="399">
        <v>7.3639999999999999</v>
      </c>
      <c r="R104" s="399"/>
      <c r="S104" s="399">
        <v>521.86</v>
      </c>
      <c r="T104" s="399">
        <v>141.32</v>
      </c>
      <c r="U104" s="399"/>
      <c r="V104" s="399">
        <v>4883.6575200000007</v>
      </c>
      <c r="W104" s="399">
        <v>4883.6575200000007</v>
      </c>
      <c r="X104" s="399">
        <v>3816.9821199999997</v>
      </c>
      <c r="Y104" s="399">
        <v>0</v>
      </c>
      <c r="Z104" s="399">
        <v>446.82574092230999</v>
      </c>
      <c r="AA104" s="399">
        <v>0</v>
      </c>
      <c r="AB104" s="399">
        <v>0</v>
      </c>
      <c r="AC104" s="399">
        <v>0</v>
      </c>
      <c r="AD104" s="399">
        <v>792.0261995720424</v>
      </c>
      <c r="AE104" s="399">
        <v>2392.9376533346067</v>
      </c>
      <c r="AF104" s="399">
        <v>1040.6726007555451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69.088991657831869</v>
      </c>
      <c r="AM104" s="399"/>
      <c r="AN104" s="399">
        <v>10.212886257115422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131.85166895297971</v>
      </c>
      <c r="BH104" s="399">
        <v>0</v>
      </c>
      <c r="BI104" s="399">
        <v>32.450000000000003</v>
      </c>
      <c r="BJ104" s="399">
        <v>151.22</v>
      </c>
      <c r="BK104" s="399">
        <v>3887.5</v>
      </c>
      <c r="BL104" s="399">
        <v>95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1172.5242697085248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3814.9088000000002</v>
      </c>
      <c r="CJ104" s="399">
        <v>-1068.7787200000012</v>
      </c>
      <c r="CK104" s="399"/>
      <c r="CL104" s="399"/>
      <c r="CM104" s="399"/>
      <c r="CN104" s="399"/>
      <c r="CO104" s="399">
        <v>-1066.6754000000001</v>
      </c>
      <c r="CP104" s="399">
        <v>0</v>
      </c>
      <c r="CQ104" s="399">
        <v>30</v>
      </c>
      <c r="CR104" s="399">
        <v>-32.812049913598457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-3.7721856769159103</v>
      </c>
      <c r="DA104" s="399">
        <v>0</v>
      </c>
      <c r="DB104" s="399">
        <v>0</v>
      </c>
      <c r="DC104" s="399">
        <v>0</v>
      </c>
      <c r="DD104" s="399">
        <v>0</v>
      </c>
      <c r="DE104" s="399">
        <v>0</v>
      </c>
      <c r="DF104" s="399">
        <v>0</v>
      </c>
      <c r="DG104" s="399">
        <v>0</v>
      </c>
      <c r="DH104" s="399">
        <v>0</v>
      </c>
      <c r="DI104" s="399">
        <v>-25.175798223652237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-3.452252720501221</v>
      </c>
      <c r="DP104" s="399">
        <v>-0.41181329252938603</v>
      </c>
      <c r="DQ104" s="399">
        <v>0</v>
      </c>
      <c r="DR104" s="399">
        <v>0</v>
      </c>
      <c r="DS104" s="399"/>
      <c r="DT104" s="399"/>
      <c r="DU104" s="399"/>
      <c r="DV104" s="399">
        <v>2392.9376533346067</v>
      </c>
      <c r="DW104" s="399">
        <v>0</v>
      </c>
      <c r="DX104" s="399">
        <v>0</v>
      </c>
      <c r="DY104" s="399">
        <v>-1066.6754000000005</v>
      </c>
      <c r="DZ104" s="399">
        <v>0</v>
      </c>
      <c r="EA104" s="399">
        <v>0</v>
      </c>
      <c r="EB104" s="399">
        <v>0</v>
      </c>
      <c r="EC104" s="399">
        <v>-1033.7954512364704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218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956</v>
      </c>
      <c r="C105" s="399" t="s">
        <v>2328</v>
      </c>
      <c r="D105" s="399" t="s">
        <v>1823</v>
      </c>
      <c r="E105" s="399" t="s">
        <v>889</v>
      </c>
      <c r="F105" s="399" t="s">
        <v>2330</v>
      </c>
      <c r="G105" s="399" t="s">
        <v>1239</v>
      </c>
      <c r="H105" s="399" t="s">
        <v>1239</v>
      </c>
      <c r="I105" s="399" t="s">
        <v>1239</v>
      </c>
      <c r="J105" s="399" t="s">
        <v>2329</v>
      </c>
      <c r="K105" s="789">
        <v>44501</v>
      </c>
      <c r="L105" s="399">
        <v>0</v>
      </c>
      <c r="M105" s="399">
        <v>0</v>
      </c>
      <c r="N105" s="399">
        <v>1.1399999999999999</v>
      </c>
      <c r="O105" s="399">
        <v>1.1399999999999999</v>
      </c>
      <c r="P105" s="399">
        <v>1.1399999999999999</v>
      </c>
      <c r="Q105" s="399">
        <v>1.1399999999999999</v>
      </c>
      <c r="R105" s="399"/>
      <c r="S105" s="399">
        <v>451.8</v>
      </c>
      <c r="T105" s="399">
        <v>141.32</v>
      </c>
      <c r="U105" s="399"/>
      <c r="V105" s="399">
        <v>676.15679999999998</v>
      </c>
      <c r="W105" s="399">
        <v>676.15679999999998</v>
      </c>
      <c r="X105" s="399">
        <v>515.46239999999989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122.61133453450954</v>
      </c>
      <c r="AE105" s="399">
        <v>370.44390613816557</v>
      </c>
      <c r="AF105" s="399">
        <v>161.10358023646404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1.5810280191623547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20.411583732536236</v>
      </c>
      <c r="BH105" s="399">
        <v>0</v>
      </c>
      <c r="BI105" s="399">
        <v>3.81</v>
      </c>
      <c r="BJ105" s="399">
        <v>18.27</v>
      </c>
      <c r="BK105" s="399">
        <v>27.48</v>
      </c>
      <c r="BL105" s="399">
        <v>1</v>
      </c>
      <c r="BM105" s="399"/>
      <c r="BN105" s="399"/>
      <c r="BO105" s="399"/>
      <c r="BP105" s="399"/>
      <c r="BQ105" s="399"/>
      <c r="BR105" s="399"/>
      <c r="BS105" s="399"/>
      <c r="BT105" s="399">
        <v>335.04599999999994</v>
      </c>
      <c r="BU105" s="399"/>
      <c r="BV105" s="399">
        <v>181.51516396900027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180.41639999999998</v>
      </c>
      <c r="CJ105" s="399">
        <v>-56.266199999999969</v>
      </c>
      <c r="CK105" s="399"/>
      <c r="CL105" s="399"/>
      <c r="CM105" s="399"/>
      <c r="CN105" s="399"/>
      <c r="CO105" s="399">
        <v>-160.69440000000003</v>
      </c>
      <c r="CP105" s="399">
        <v>0</v>
      </c>
      <c r="CQ105" s="399">
        <v>30</v>
      </c>
      <c r="CR105" s="399">
        <v>-0.64771303981092387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-0.58396138941934339</v>
      </c>
      <c r="DA105" s="399">
        <v>0</v>
      </c>
      <c r="DB105" s="399">
        <v>0</v>
      </c>
      <c r="DC105" s="399">
        <v>0</v>
      </c>
      <c r="DD105" s="399">
        <v>0</v>
      </c>
      <c r="DE105" s="399">
        <v>0</v>
      </c>
      <c r="DF105" s="399">
        <v>0</v>
      </c>
      <c r="DG105" s="399">
        <v>0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-6.3751650391567161E-2</v>
      </c>
      <c r="DQ105" s="399">
        <v>0</v>
      </c>
      <c r="DR105" s="399">
        <v>0</v>
      </c>
      <c r="DS105" s="399"/>
      <c r="DT105" s="399"/>
      <c r="DU105" s="399"/>
      <c r="DV105" s="399">
        <v>370.44390613816557</v>
      </c>
      <c r="DW105" s="399">
        <v>0</v>
      </c>
      <c r="DX105" s="399">
        <v>0</v>
      </c>
      <c r="DY105" s="399">
        <v>-160.69440000000009</v>
      </c>
      <c r="DZ105" s="399">
        <v>0</v>
      </c>
      <c r="EA105" s="399">
        <v>0</v>
      </c>
      <c r="EB105" s="399">
        <v>0</v>
      </c>
      <c r="EC105" s="399">
        <v>-160.03894818163715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218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956</v>
      </c>
      <c r="C106" s="399" t="s">
        <v>2328</v>
      </c>
      <c r="D106" s="399" t="s">
        <v>1823</v>
      </c>
      <c r="E106" s="399" t="s">
        <v>889</v>
      </c>
      <c r="F106" s="399" t="s">
        <v>2331</v>
      </c>
      <c r="G106" s="399" t="s">
        <v>1239</v>
      </c>
      <c r="H106" s="399" t="s">
        <v>1239</v>
      </c>
      <c r="I106" s="399" t="s">
        <v>1239</v>
      </c>
      <c r="J106" s="399" t="s">
        <v>2329</v>
      </c>
      <c r="K106" s="789">
        <v>44501</v>
      </c>
      <c r="L106" s="399">
        <v>0</v>
      </c>
      <c r="M106" s="399">
        <v>0</v>
      </c>
      <c r="N106" s="399">
        <v>2.5049999999999999</v>
      </c>
      <c r="O106" s="399">
        <v>2.5049999999999999</v>
      </c>
      <c r="P106" s="399">
        <v>2.5049999999999999</v>
      </c>
      <c r="Q106" s="399">
        <v>2.5049999999999999</v>
      </c>
      <c r="R106" s="399"/>
      <c r="S106" s="399">
        <v>451.8</v>
      </c>
      <c r="T106" s="399">
        <v>141.32</v>
      </c>
      <c r="U106" s="399"/>
      <c r="V106" s="399">
        <v>1485.7655999999999</v>
      </c>
      <c r="W106" s="399">
        <v>1485.7655999999999</v>
      </c>
      <c r="X106" s="399">
        <v>1132.6607999999999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269.42227456925127</v>
      </c>
      <c r="AE106" s="399">
        <v>814.0017411193902</v>
      </c>
      <c r="AF106" s="399">
        <v>354.00391973012495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3.4741010421067533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44.851769517546728</v>
      </c>
      <c r="BH106" s="399">
        <v>0</v>
      </c>
      <c r="BI106" s="399">
        <v>8.82</v>
      </c>
      <c r="BJ106" s="399">
        <v>41.19</v>
      </c>
      <c r="BK106" s="399">
        <v>101.84</v>
      </c>
      <c r="BL106" s="399">
        <v>5</v>
      </c>
      <c r="BM106" s="399"/>
      <c r="BN106" s="399"/>
      <c r="BO106" s="399"/>
      <c r="BP106" s="399"/>
      <c r="BQ106" s="399"/>
      <c r="BR106" s="399"/>
      <c r="BS106" s="399"/>
      <c r="BT106" s="399">
        <v>453.0542999999999</v>
      </c>
      <c r="BU106" s="399"/>
      <c r="BV106" s="399">
        <v>398.85568924767165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680.96299999999997</v>
      </c>
      <c r="CJ106" s="399">
        <v>-210.52134999999998</v>
      </c>
      <c r="CK106" s="399"/>
      <c r="CL106" s="399"/>
      <c r="CM106" s="399"/>
      <c r="CN106" s="399"/>
      <c r="CO106" s="399">
        <v>-353.10480000000007</v>
      </c>
      <c r="CP106" s="399">
        <v>0</v>
      </c>
      <c r="CQ106" s="399">
        <v>30</v>
      </c>
      <c r="CR106" s="399">
        <v>-1.4232641795846348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-1.2831783162241095</v>
      </c>
      <c r="DA106" s="399">
        <v>0</v>
      </c>
      <c r="DB106" s="399">
        <v>0</v>
      </c>
      <c r="DC106" s="399">
        <v>0</v>
      </c>
      <c r="DD106" s="399">
        <v>0</v>
      </c>
      <c r="DE106" s="399">
        <v>0</v>
      </c>
      <c r="DF106" s="399">
        <v>0</v>
      </c>
      <c r="DG106" s="399">
        <v>0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-0.1400858633604174</v>
      </c>
      <c r="DQ106" s="399">
        <v>0</v>
      </c>
      <c r="DR106" s="399">
        <v>0</v>
      </c>
      <c r="DS106" s="399"/>
      <c r="DT106" s="399"/>
      <c r="DU106" s="399"/>
      <c r="DV106" s="399">
        <v>814.0017411193902</v>
      </c>
      <c r="DW106" s="399">
        <v>0</v>
      </c>
      <c r="DX106" s="399">
        <v>0</v>
      </c>
      <c r="DY106" s="399">
        <v>-353.10480000000007</v>
      </c>
      <c r="DZ106" s="399">
        <v>0</v>
      </c>
      <c r="EA106" s="399">
        <v>0</v>
      </c>
      <c r="EB106" s="399">
        <v>0</v>
      </c>
      <c r="EC106" s="399">
        <v>-351.66453087280797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218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956</v>
      </c>
      <c r="C107" s="399" t="s">
        <v>2328</v>
      </c>
      <c r="D107" s="399" t="s">
        <v>1823</v>
      </c>
      <c r="E107" s="399" t="s">
        <v>889</v>
      </c>
      <c r="F107" s="399" t="s">
        <v>2332</v>
      </c>
      <c r="G107" s="399" t="s">
        <v>1239</v>
      </c>
      <c r="H107" s="399" t="s">
        <v>1239</v>
      </c>
      <c r="I107" s="399" t="s">
        <v>1239</v>
      </c>
      <c r="J107" s="399" t="s">
        <v>2329</v>
      </c>
      <c r="K107" s="789">
        <v>44501</v>
      </c>
      <c r="L107" s="399">
        <v>0</v>
      </c>
      <c r="M107" s="399">
        <v>0</v>
      </c>
      <c r="N107" s="399">
        <v>2.254</v>
      </c>
      <c r="O107" s="399">
        <v>2.254</v>
      </c>
      <c r="P107" s="399">
        <v>2.254</v>
      </c>
      <c r="Q107" s="399">
        <v>2.254</v>
      </c>
      <c r="R107" s="399"/>
      <c r="S107" s="399">
        <v>451.8</v>
      </c>
      <c r="T107" s="399">
        <v>141.32</v>
      </c>
      <c r="U107" s="399"/>
      <c r="V107" s="399">
        <v>1336.89248</v>
      </c>
      <c r="W107" s="399">
        <v>1336.89248</v>
      </c>
      <c r="X107" s="399">
        <v>1019.1686399999999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242.4262702112145</v>
      </c>
      <c r="AE107" s="399">
        <v>732.43909161002216</v>
      </c>
      <c r="AF107" s="399">
        <v>318.53286829209645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3.1259975045543404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40.357640116786563</v>
      </c>
      <c r="BH107" s="399">
        <v>0</v>
      </c>
      <c r="BI107" s="399">
        <v>9.07</v>
      </c>
      <c r="BJ107" s="399">
        <v>42.05</v>
      </c>
      <c r="BK107" s="399">
        <v>247.94</v>
      </c>
      <c r="BL107" s="399">
        <v>23</v>
      </c>
      <c r="BM107" s="399"/>
      <c r="BN107" s="399"/>
      <c r="BO107" s="399"/>
      <c r="BP107" s="399"/>
      <c r="BQ107" s="399"/>
      <c r="BR107" s="399"/>
      <c r="BS107" s="399"/>
      <c r="BT107" s="399">
        <v>101.90333999999996</v>
      </c>
      <c r="BU107" s="399"/>
      <c r="BV107" s="399">
        <v>358.89050840888302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915.63750000000005</v>
      </c>
      <c r="CJ107" s="399">
        <v>-287.60023999999999</v>
      </c>
      <c r="CK107" s="399"/>
      <c r="CL107" s="399"/>
      <c r="CM107" s="399"/>
      <c r="CN107" s="399"/>
      <c r="CO107" s="399">
        <v>-317.72384000000011</v>
      </c>
      <c r="CP107" s="399">
        <v>0</v>
      </c>
      <c r="CQ107" s="399">
        <v>30</v>
      </c>
      <c r="CR107" s="399">
        <v>-1.2806536769594459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-1.1546043611852781</v>
      </c>
      <c r="DA107" s="399">
        <v>0</v>
      </c>
      <c r="DB107" s="399">
        <v>0</v>
      </c>
      <c r="DC107" s="399">
        <v>0</v>
      </c>
      <c r="DD107" s="399">
        <v>0</v>
      </c>
      <c r="DE107" s="399">
        <v>0</v>
      </c>
      <c r="DF107" s="399">
        <v>0</v>
      </c>
      <c r="DG107" s="399">
        <v>0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-0.1260493157742042</v>
      </c>
      <c r="DQ107" s="399">
        <v>0</v>
      </c>
      <c r="DR107" s="399">
        <v>0</v>
      </c>
      <c r="DS107" s="399"/>
      <c r="DT107" s="399"/>
      <c r="DU107" s="399"/>
      <c r="DV107" s="399">
        <v>732.43909161002216</v>
      </c>
      <c r="DW107" s="399">
        <v>0</v>
      </c>
      <c r="DX107" s="399">
        <v>0</v>
      </c>
      <c r="DY107" s="399">
        <v>-317.72384000000011</v>
      </c>
      <c r="DZ107" s="399">
        <v>0</v>
      </c>
      <c r="EA107" s="399">
        <v>0</v>
      </c>
      <c r="EB107" s="399">
        <v>0</v>
      </c>
      <c r="EC107" s="399">
        <v>-316.42788526439489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218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956</v>
      </c>
      <c r="C108" s="399" t="s">
        <v>2328</v>
      </c>
      <c r="D108" s="399" t="s">
        <v>1823</v>
      </c>
      <c r="E108" s="399" t="s">
        <v>889</v>
      </c>
      <c r="F108" s="399" t="s">
        <v>2333</v>
      </c>
      <c r="G108" s="399" t="s">
        <v>1239</v>
      </c>
      <c r="H108" s="399" t="s">
        <v>1239</v>
      </c>
      <c r="I108" s="399" t="s">
        <v>1239</v>
      </c>
      <c r="J108" s="399" t="s">
        <v>2329</v>
      </c>
      <c r="K108" s="789">
        <v>44501</v>
      </c>
      <c r="L108" s="399">
        <v>0</v>
      </c>
      <c r="M108" s="399">
        <v>0</v>
      </c>
      <c r="N108" s="399">
        <v>0.67100000000000004</v>
      </c>
      <c r="O108" s="399">
        <v>0.67100000000000004</v>
      </c>
      <c r="P108" s="399">
        <v>0.67100000000000004</v>
      </c>
      <c r="Q108" s="399">
        <v>0.67100000000000004</v>
      </c>
      <c r="R108" s="399"/>
      <c r="S108" s="399">
        <v>451.8</v>
      </c>
      <c r="T108" s="399">
        <v>141.32</v>
      </c>
      <c r="U108" s="399"/>
      <c r="V108" s="399">
        <v>397.98352</v>
      </c>
      <c r="W108" s="399">
        <v>397.98352</v>
      </c>
      <c r="X108" s="399">
        <v>303.39936</v>
      </c>
      <c r="Y108" s="399">
        <v>0</v>
      </c>
      <c r="Z108" s="399">
        <v>0</v>
      </c>
      <c r="AA108" s="399">
        <v>0</v>
      </c>
      <c r="AB108" s="399">
        <v>0</v>
      </c>
      <c r="AC108" s="399">
        <v>0</v>
      </c>
      <c r="AD108" s="399">
        <v>72.168601291803441</v>
      </c>
      <c r="AE108" s="399">
        <v>218.04198334974487</v>
      </c>
      <c r="AF108" s="399">
        <v>94.825002051462619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0</v>
      </c>
      <c r="AM108" s="399"/>
      <c r="AN108" s="399">
        <v>0.93058754461222826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12.014186565378786</v>
      </c>
      <c r="BH108" s="399">
        <v>0</v>
      </c>
      <c r="BI108" s="399">
        <v>3.18</v>
      </c>
      <c r="BJ108" s="399">
        <v>14.14</v>
      </c>
      <c r="BK108" s="399">
        <v>131.22</v>
      </c>
      <c r="BL108" s="399">
        <v>9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106.8391886168414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302.94720000000001</v>
      </c>
      <c r="CJ108" s="399">
        <v>-95.066319999999962</v>
      </c>
      <c r="CK108" s="399"/>
      <c r="CL108" s="399"/>
      <c r="CM108" s="399"/>
      <c r="CN108" s="399"/>
      <c r="CO108" s="399">
        <v>-94.584160000000026</v>
      </c>
      <c r="CP108" s="399">
        <v>0</v>
      </c>
      <c r="CQ108" s="399">
        <v>30</v>
      </c>
      <c r="CR108" s="399">
        <v>-0.38124162255536476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-0.34371762482490453</v>
      </c>
      <c r="DA108" s="399">
        <v>0</v>
      </c>
      <c r="DB108" s="399">
        <v>0</v>
      </c>
      <c r="DC108" s="399">
        <v>0</v>
      </c>
      <c r="DD108" s="399">
        <v>0</v>
      </c>
      <c r="DE108" s="399">
        <v>0</v>
      </c>
      <c r="DF108" s="399">
        <v>0</v>
      </c>
      <c r="DG108" s="399">
        <v>0</v>
      </c>
      <c r="DH108" s="399">
        <v>0</v>
      </c>
      <c r="DI108" s="399">
        <v>0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</v>
      </c>
      <c r="DP108" s="399">
        <v>-3.75239977304751E-2</v>
      </c>
      <c r="DQ108" s="399">
        <v>0</v>
      </c>
      <c r="DR108" s="399">
        <v>0</v>
      </c>
      <c r="DS108" s="399"/>
      <c r="DT108" s="399"/>
      <c r="DU108" s="399"/>
      <c r="DV108" s="399">
        <v>218.04198334974487</v>
      </c>
      <c r="DW108" s="399">
        <v>0</v>
      </c>
      <c r="DX108" s="399">
        <v>0</v>
      </c>
      <c r="DY108" s="399">
        <v>-94.584160000000026</v>
      </c>
      <c r="DZ108" s="399">
        <v>0</v>
      </c>
      <c r="EA108" s="399">
        <v>0</v>
      </c>
      <c r="EB108" s="399">
        <v>0</v>
      </c>
      <c r="EC108" s="399">
        <v>-94.198363359542583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218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956</v>
      </c>
      <c r="C109" s="399" t="s">
        <v>2328</v>
      </c>
      <c r="D109" s="399" t="s">
        <v>1826</v>
      </c>
      <c r="E109" s="399" t="s">
        <v>890</v>
      </c>
      <c r="F109" s="399" t="s">
        <v>1239</v>
      </c>
      <c r="G109" s="399" t="s">
        <v>1239</v>
      </c>
      <c r="H109" s="399" t="s">
        <v>1239</v>
      </c>
      <c r="I109" s="399" t="s">
        <v>1239</v>
      </c>
      <c r="J109" s="399" t="s">
        <v>2329</v>
      </c>
      <c r="K109" s="789">
        <v>44501</v>
      </c>
      <c r="L109" s="399">
        <v>0</v>
      </c>
      <c r="M109" s="399">
        <v>0</v>
      </c>
      <c r="N109" s="399">
        <v>139.66900000000001</v>
      </c>
      <c r="O109" s="399">
        <v>139.66900000000001</v>
      </c>
      <c r="P109" s="399">
        <v>139.66900000000001</v>
      </c>
      <c r="Q109" s="399">
        <v>139.66900000000001</v>
      </c>
      <c r="R109" s="399"/>
      <c r="S109" s="399">
        <v>521.86</v>
      </c>
      <c r="T109" s="399">
        <v>141.32</v>
      </c>
      <c r="U109" s="399"/>
      <c r="V109" s="399">
        <v>92625.687420000002</v>
      </c>
      <c r="W109" s="399">
        <v>92625.687420000002</v>
      </c>
      <c r="X109" s="399">
        <v>72394.632769999997</v>
      </c>
      <c r="Y109" s="399">
        <v>0</v>
      </c>
      <c r="Z109" s="399">
        <v>8474.7018480279894</v>
      </c>
      <c r="AA109" s="399">
        <v>0</v>
      </c>
      <c r="AB109" s="399">
        <v>0</v>
      </c>
      <c r="AC109" s="399">
        <v>0</v>
      </c>
      <c r="AD109" s="399">
        <v>15021.932002719663</v>
      </c>
      <c r="AE109" s="399">
        <v>45385.552567027597</v>
      </c>
      <c r="AF109" s="399">
        <v>19737.873638637455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1310.3734893886096</v>
      </c>
      <c r="AM109" s="399"/>
      <c r="AN109" s="399">
        <v>193.70228281437454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2500.7592002978981</v>
      </c>
      <c r="BH109" s="399">
        <v>0</v>
      </c>
      <c r="BI109" s="399">
        <v>621.45000000000005</v>
      </c>
      <c r="BJ109" s="399">
        <v>2871.66</v>
      </c>
      <c r="BK109" s="399">
        <v>31838.7</v>
      </c>
      <c r="BL109" s="399">
        <v>145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22238.632838935351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72395.151099999988</v>
      </c>
      <c r="CJ109" s="399">
        <v>-20230.566319999998</v>
      </c>
      <c r="CK109" s="399"/>
      <c r="CL109" s="399"/>
      <c r="CM109" s="399"/>
      <c r="CN109" s="399"/>
      <c r="CO109" s="399">
        <v>-20231.054650000005</v>
      </c>
      <c r="CP109" s="399">
        <v>0</v>
      </c>
      <c r="CQ109" s="399">
        <v>30</v>
      </c>
      <c r="CR109" s="399">
        <v>-622.32838123063993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-71.545002893693891</v>
      </c>
      <c r="DA109" s="399">
        <v>0</v>
      </c>
      <c r="DB109" s="399">
        <v>0</v>
      </c>
      <c r="DC109" s="399">
        <v>0</v>
      </c>
      <c r="DD109" s="399">
        <v>0</v>
      </c>
      <c r="DE109" s="399">
        <v>0</v>
      </c>
      <c r="DF109" s="399">
        <v>0</v>
      </c>
      <c r="DG109" s="399">
        <v>0</v>
      </c>
      <c r="DH109" s="399">
        <v>0</v>
      </c>
      <c r="DI109" s="399">
        <v>-477.49573086627879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-65.477007770190994</v>
      </c>
      <c r="DP109" s="399">
        <v>-7.81063970047353</v>
      </c>
      <c r="DQ109" s="399">
        <v>0</v>
      </c>
      <c r="DR109" s="399">
        <v>0</v>
      </c>
      <c r="DS109" s="399"/>
      <c r="DT109" s="399"/>
      <c r="DU109" s="399"/>
      <c r="DV109" s="399">
        <v>45385.552567027597</v>
      </c>
      <c r="DW109" s="399">
        <v>0</v>
      </c>
      <c r="DX109" s="399">
        <v>0</v>
      </c>
      <c r="DY109" s="399">
        <v>-20231.054649999998</v>
      </c>
      <c r="DZ109" s="399">
        <v>0</v>
      </c>
      <c r="EA109" s="399">
        <v>0</v>
      </c>
      <c r="EB109" s="399">
        <v>0</v>
      </c>
      <c r="EC109" s="399">
        <v>-19607.438468053584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218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2361</v>
      </c>
      <c r="C110" s="399" t="s">
        <v>2328</v>
      </c>
      <c r="D110" s="399" t="s">
        <v>1826</v>
      </c>
      <c r="E110" s="399" t="s">
        <v>890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2329</v>
      </c>
      <c r="K110" s="789">
        <v>44501</v>
      </c>
      <c r="L110" s="399">
        <v>0</v>
      </c>
      <c r="M110" s="399">
        <v>0</v>
      </c>
      <c r="N110" s="399">
        <v>5.7770000000000001</v>
      </c>
      <c r="O110" s="399">
        <v>5.7770000000000001</v>
      </c>
      <c r="P110" s="399">
        <v>5.7770000000000001</v>
      </c>
      <c r="Q110" s="399">
        <v>5.7770000000000001</v>
      </c>
      <c r="R110" s="399"/>
      <c r="S110" s="399">
        <v>521.86</v>
      </c>
      <c r="T110" s="399">
        <v>141.32</v>
      </c>
      <c r="U110" s="399"/>
      <c r="V110" s="399">
        <v>3831.1908600000002</v>
      </c>
      <c r="W110" s="399">
        <v>3831.1908600000002</v>
      </c>
      <c r="X110" s="399">
        <v>2994.3924099999999</v>
      </c>
      <c r="Y110" s="399">
        <v>0</v>
      </c>
      <c r="Z110" s="399">
        <v>350.53127448508758</v>
      </c>
      <c r="AA110" s="399">
        <v>0</v>
      </c>
      <c r="AB110" s="399">
        <v>0</v>
      </c>
      <c r="AC110" s="399">
        <v>0</v>
      </c>
      <c r="AD110" s="399">
        <v>621.33831544373834</v>
      </c>
      <c r="AE110" s="399">
        <v>1877.2407418948972</v>
      </c>
      <c r="AF110" s="399">
        <v>816.39945879478319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54.199769800012866</v>
      </c>
      <c r="AM110" s="399"/>
      <c r="AN110" s="399">
        <v>8.0119288304394072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103.43659580952794</v>
      </c>
      <c r="BH110" s="399">
        <v>0</v>
      </c>
      <c r="BI110" s="399">
        <v>25.68</v>
      </c>
      <c r="BJ110" s="399">
        <v>118.81</v>
      </c>
      <c r="BK110" s="399">
        <v>3870.84</v>
      </c>
      <c r="BL110" s="399">
        <v>10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919.83605460431113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2995.9474</v>
      </c>
      <c r="CJ110" s="399">
        <v>-835.2734600000008</v>
      </c>
      <c r="CK110" s="399"/>
      <c r="CL110" s="399"/>
      <c r="CM110" s="399"/>
      <c r="CN110" s="399"/>
      <c r="CO110" s="399">
        <v>-836.79845000000012</v>
      </c>
      <c r="CP110" s="399">
        <v>0</v>
      </c>
      <c r="CQ110" s="399">
        <v>30</v>
      </c>
      <c r="CR110" s="399">
        <v>-25.740794724451689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-2.95924995322423</v>
      </c>
      <c r="DA110" s="399">
        <v>0</v>
      </c>
      <c r="DB110" s="399">
        <v>0</v>
      </c>
      <c r="DC110" s="399">
        <v>0</v>
      </c>
      <c r="DD110" s="399">
        <v>0</v>
      </c>
      <c r="DE110" s="399">
        <v>0</v>
      </c>
      <c r="DF110" s="399">
        <v>0</v>
      </c>
      <c r="DG110" s="399">
        <v>0</v>
      </c>
      <c r="DH110" s="399">
        <v>0</v>
      </c>
      <c r="DI110" s="399">
        <v>-19.750215417984634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-2.7082650687582301</v>
      </c>
      <c r="DP110" s="399">
        <v>-0.3230642844842837</v>
      </c>
      <c r="DQ110" s="399">
        <v>0</v>
      </c>
      <c r="DR110" s="399">
        <v>0</v>
      </c>
      <c r="DS110" s="399"/>
      <c r="DT110" s="399"/>
      <c r="DU110" s="399"/>
      <c r="DV110" s="399">
        <v>1877.2407418948972</v>
      </c>
      <c r="DW110" s="399">
        <v>0</v>
      </c>
      <c r="DX110" s="399">
        <v>0</v>
      </c>
      <c r="DY110" s="399">
        <v>-836.79845000000023</v>
      </c>
      <c r="DZ110" s="399">
        <v>0</v>
      </c>
      <c r="EA110" s="399">
        <v>0</v>
      </c>
      <c r="EB110" s="399">
        <v>0</v>
      </c>
      <c r="EC110" s="399">
        <v>-811.00438916255962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218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956</v>
      </c>
      <c r="C111" s="399" t="s">
        <v>2334</v>
      </c>
      <c r="D111" s="399" t="s">
        <v>533</v>
      </c>
      <c r="E111" s="399" t="s">
        <v>890</v>
      </c>
      <c r="F111" s="399" t="s">
        <v>1239</v>
      </c>
      <c r="G111" s="399" t="s">
        <v>1239</v>
      </c>
      <c r="H111" s="399" t="s">
        <v>1239</v>
      </c>
      <c r="I111" s="399" t="s">
        <v>893</v>
      </c>
      <c r="J111" s="399" t="s">
        <v>2329</v>
      </c>
      <c r="K111" s="789">
        <v>44501</v>
      </c>
      <c r="L111" s="399">
        <v>0</v>
      </c>
      <c r="M111" s="399">
        <v>0</v>
      </c>
      <c r="N111" s="399">
        <v>54.72</v>
      </c>
      <c r="O111" s="399">
        <v>54.72</v>
      </c>
      <c r="P111" s="399">
        <v>54.72</v>
      </c>
      <c r="Q111" s="399">
        <v>54.72</v>
      </c>
      <c r="R111" s="399"/>
      <c r="S111" s="399">
        <v>2741.05</v>
      </c>
      <c r="T111" s="399">
        <v>141.32</v>
      </c>
      <c r="U111" s="399"/>
      <c r="V111" s="399">
        <v>157723.28639999998</v>
      </c>
      <c r="W111" s="399">
        <v>157723.28639999998</v>
      </c>
      <c r="X111" s="399">
        <v>112935.51359999999</v>
      </c>
      <c r="Y111" s="399">
        <v>0</v>
      </c>
      <c r="Z111" s="399">
        <v>2888.6155557636966</v>
      </c>
      <c r="AA111" s="399">
        <v>0</v>
      </c>
      <c r="AB111" s="399">
        <v>0</v>
      </c>
      <c r="AC111" s="399">
        <v>0</v>
      </c>
      <c r="AD111" s="399">
        <v>43423.68413788492</v>
      </c>
      <c r="AE111" s="399">
        <v>102753.69406030542</v>
      </c>
      <c r="AF111" s="399">
        <v>7732.9718513502748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513.38262133576325</v>
      </c>
      <c r="AM111" s="399"/>
      <c r="AN111" s="399">
        <v>32.872624808346622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378.27708500828396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8111.2489363585591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112935.51359999999</v>
      </c>
      <c r="CJ111" s="399">
        <v>-44787.802800000019</v>
      </c>
      <c r="CK111" s="399"/>
      <c r="CL111" s="399"/>
      <c r="CM111" s="399"/>
      <c r="CN111" s="399"/>
      <c r="CO111" s="399">
        <v>-44787.772800000013</v>
      </c>
      <c r="CP111" s="399">
        <v>0</v>
      </c>
      <c r="CQ111" s="399">
        <v>30</v>
      </c>
      <c r="CR111" s="399">
        <v>-396.54762054429739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-206.81411730123364</v>
      </c>
      <c r="DA111" s="399">
        <v>0</v>
      </c>
      <c r="DB111" s="399">
        <v>0</v>
      </c>
      <c r="DC111" s="399">
        <v>0</v>
      </c>
      <c r="DD111" s="399">
        <v>0</v>
      </c>
      <c r="DE111" s="399">
        <v>0</v>
      </c>
      <c r="DF111" s="399">
        <v>0</v>
      </c>
      <c r="DG111" s="399">
        <v>0</v>
      </c>
      <c r="DH111" s="399">
        <v>0</v>
      </c>
      <c r="DI111" s="399">
        <v>-162.75517660979312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-25.65280674440902</v>
      </c>
      <c r="DP111" s="399">
        <v>-1.3255198888539788</v>
      </c>
      <c r="DQ111" s="399">
        <v>0</v>
      </c>
      <c r="DR111" s="399">
        <v>0</v>
      </c>
      <c r="DS111" s="399"/>
      <c r="DT111" s="399"/>
      <c r="DU111" s="399"/>
      <c r="DV111" s="399">
        <v>102753.69406030542</v>
      </c>
      <c r="DW111" s="399">
        <v>0</v>
      </c>
      <c r="DX111" s="399">
        <v>0</v>
      </c>
      <c r="DY111" s="399">
        <v>-44787.772800000006</v>
      </c>
      <c r="DZ111" s="399">
        <v>0</v>
      </c>
      <c r="EA111" s="399">
        <v>0</v>
      </c>
      <c r="EB111" s="399">
        <v>0</v>
      </c>
      <c r="EC111" s="399">
        <v>-44391.587624215623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218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2361</v>
      </c>
      <c r="C112" s="399" t="s">
        <v>2334</v>
      </c>
      <c r="D112" s="399" t="s">
        <v>533</v>
      </c>
      <c r="E112" s="399" t="s">
        <v>890</v>
      </c>
      <c r="F112" s="399" t="s">
        <v>1239</v>
      </c>
      <c r="G112" s="399" t="s">
        <v>1239</v>
      </c>
      <c r="H112" s="399" t="s">
        <v>1239</v>
      </c>
      <c r="I112" s="399" t="s">
        <v>893</v>
      </c>
      <c r="J112" s="399" t="s">
        <v>2329</v>
      </c>
      <c r="K112" s="789">
        <v>44501</v>
      </c>
      <c r="L112" s="399">
        <v>0</v>
      </c>
      <c r="M112" s="399">
        <v>0</v>
      </c>
      <c r="N112" s="399">
        <v>0.21299999999999999</v>
      </c>
      <c r="O112" s="399">
        <v>0.21299999999999999</v>
      </c>
      <c r="P112" s="399">
        <v>0.21299999999999999</v>
      </c>
      <c r="Q112" s="399">
        <v>0.21299999999999999</v>
      </c>
      <c r="R112" s="399"/>
      <c r="S112" s="399">
        <v>2741.05</v>
      </c>
      <c r="T112" s="399">
        <v>141.32</v>
      </c>
      <c r="U112" s="399"/>
      <c r="V112" s="399">
        <v>613.94481000000007</v>
      </c>
      <c r="W112" s="399">
        <v>613.94481000000007</v>
      </c>
      <c r="X112" s="399">
        <v>439.60643999999996</v>
      </c>
      <c r="Y112" s="399">
        <v>0</v>
      </c>
      <c r="Z112" s="399">
        <v>11.244062744474915</v>
      </c>
      <c r="AA112" s="399">
        <v>0</v>
      </c>
      <c r="AB112" s="399">
        <v>0</v>
      </c>
      <c r="AC112" s="399">
        <v>0</v>
      </c>
      <c r="AD112" s="399">
        <v>169.02859505426696</v>
      </c>
      <c r="AE112" s="399">
        <v>399.97326087070644</v>
      </c>
      <c r="AF112" s="399">
        <v>30.100932096813022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1.9983643703310958</v>
      </c>
      <c r="AM112" s="399"/>
      <c r="AN112" s="399">
        <v>0.12795813384827906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1.472460144494965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31.573392241307985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433.41480000000001</v>
      </c>
      <c r="CJ112" s="399">
        <v>-180.56001000000003</v>
      </c>
      <c r="CK112" s="399"/>
      <c r="CL112" s="399"/>
      <c r="CM112" s="399"/>
      <c r="CN112" s="399"/>
      <c r="CO112" s="399">
        <v>-174.33837000000005</v>
      </c>
      <c r="CP112" s="399">
        <v>0</v>
      </c>
      <c r="CQ112" s="399">
        <v>30</v>
      </c>
      <c r="CR112" s="399">
        <v>-1.5435790054081622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-0.80503302238966512</v>
      </c>
      <c r="DA112" s="399">
        <v>0</v>
      </c>
      <c r="DB112" s="399">
        <v>0</v>
      </c>
      <c r="DC112" s="399">
        <v>0</v>
      </c>
      <c r="DD112" s="399">
        <v>0</v>
      </c>
      <c r="DE112" s="399">
        <v>0</v>
      </c>
      <c r="DF112" s="399">
        <v>0</v>
      </c>
      <c r="DG112" s="399">
        <v>0</v>
      </c>
      <c r="DH112" s="399">
        <v>0</v>
      </c>
      <c r="DI112" s="399">
        <v>-0.63353166333855881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-9.9854675375714796E-2</v>
      </c>
      <c r="DP112" s="399">
        <v>-5.1596443042013496E-3</v>
      </c>
      <c r="DQ112" s="399">
        <v>0</v>
      </c>
      <c r="DR112" s="399">
        <v>0</v>
      </c>
      <c r="DS112" s="399"/>
      <c r="DT112" s="399"/>
      <c r="DU112" s="399"/>
      <c r="DV112" s="399">
        <v>399.97326087070644</v>
      </c>
      <c r="DW112" s="399">
        <v>0</v>
      </c>
      <c r="DX112" s="399">
        <v>0</v>
      </c>
      <c r="DY112" s="399">
        <v>-174.33837000000005</v>
      </c>
      <c r="DZ112" s="399">
        <v>0</v>
      </c>
      <c r="EA112" s="399">
        <v>0</v>
      </c>
      <c r="EB112" s="399">
        <v>0</v>
      </c>
      <c r="EC112" s="399">
        <v>-172.79620182671653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218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956</v>
      </c>
      <c r="C113" s="399" t="s">
        <v>2334</v>
      </c>
      <c r="D113" s="399" t="s">
        <v>533</v>
      </c>
      <c r="E113" s="399" t="s">
        <v>890</v>
      </c>
      <c r="F113" s="399" t="s">
        <v>1239</v>
      </c>
      <c r="G113" s="399" t="s">
        <v>1239</v>
      </c>
      <c r="H113" s="399" t="s">
        <v>1239</v>
      </c>
      <c r="I113" s="399" t="s">
        <v>2326</v>
      </c>
      <c r="J113" s="399" t="s">
        <v>2329</v>
      </c>
      <c r="K113" s="789">
        <v>44501</v>
      </c>
      <c r="L113" s="399">
        <v>0</v>
      </c>
      <c r="M113" s="399">
        <v>0</v>
      </c>
      <c r="N113" s="399">
        <v>2218.4679999999998</v>
      </c>
      <c r="O113" s="399">
        <v>2218.4679999999998</v>
      </c>
      <c r="P113" s="399">
        <v>2218.4679999999998</v>
      </c>
      <c r="Q113" s="399">
        <v>2218.4679999999998</v>
      </c>
      <c r="R113" s="399"/>
      <c r="S113" s="399">
        <v>69.680000000000007</v>
      </c>
      <c r="T113" s="399">
        <v>141.32</v>
      </c>
      <c r="U113" s="399"/>
      <c r="V113" s="399">
        <v>468096.74799999996</v>
      </c>
      <c r="W113" s="399">
        <v>468096.74799999996</v>
      </c>
      <c r="X113" s="399">
        <v>460420.84871999995</v>
      </c>
      <c r="Y113" s="399">
        <v>0</v>
      </c>
      <c r="Z113" s="399">
        <v>117110.767082675</v>
      </c>
      <c r="AA113" s="399">
        <v>0</v>
      </c>
      <c r="AB113" s="399">
        <v>0</v>
      </c>
      <c r="AC113" s="399">
        <v>0</v>
      </c>
      <c r="AD113" s="399">
        <v>0</v>
      </c>
      <c r="AE113" s="399">
        <v>0</v>
      </c>
      <c r="AF113" s="399">
        <v>313511.52407019993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20813.649802439835</v>
      </c>
      <c r="AM113" s="399"/>
      <c r="AN113" s="399">
        <v>1332.727818225934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15336.177050880073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328847.70112108003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460421.26379999996</v>
      </c>
      <c r="CJ113" s="399">
        <v>-7675.5142000000342</v>
      </c>
      <c r="CK113" s="399"/>
      <c r="CL113" s="399"/>
      <c r="CM113" s="399"/>
      <c r="CN113" s="399"/>
      <c r="CO113" s="399">
        <v>-7675.8992800000169</v>
      </c>
      <c r="CP113" s="399">
        <v>0</v>
      </c>
      <c r="CQ113" s="399">
        <v>30</v>
      </c>
      <c r="CR113" s="399">
        <v>-7692.209529835789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0</v>
      </c>
      <c r="DA113" s="399">
        <v>0</v>
      </c>
      <c r="DB113" s="399">
        <v>0</v>
      </c>
      <c r="DC113" s="399">
        <v>0</v>
      </c>
      <c r="DD113" s="399">
        <v>0</v>
      </c>
      <c r="DE113" s="399">
        <v>0</v>
      </c>
      <c r="DF113" s="399">
        <v>0</v>
      </c>
      <c r="DG113" s="399">
        <v>0</v>
      </c>
      <c r="DH113" s="399">
        <v>0</v>
      </c>
      <c r="DI113" s="399">
        <v>-6598.4493995463126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-1040.020666532444</v>
      </c>
      <c r="DP113" s="399">
        <v>-53.739463757056228</v>
      </c>
      <c r="DQ113" s="399">
        <v>0</v>
      </c>
      <c r="DR113" s="399">
        <v>0</v>
      </c>
      <c r="DS113" s="399"/>
      <c r="DT113" s="399"/>
      <c r="DU113" s="399"/>
      <c r="DV113" s="399">
        <v>0</v>
      </c>
      <c r="DW113" s="399">
        <v>0</v>
      </c>
      <c r="DX113" s="399">
        <v>0</v>
      </c>
      <c r="DY113" s="399">
        <v>-7675.8992800000124</v>
      </c>
      <c r="DZ113" s="399">
        <v>0</v>
      </c>
      <c r="EA113" s="399">
        <v>0</v>
      </c>
      <c r="EB113" s="399">
        <v>0</v>
      </c>
      <c r="EC113" s="399">
        <v>0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218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2361</v>
      </c>
      <c r="C114" s="399" t="s">
        <v>2334</v>
      </c>
      <c r="D114" s="399" t="s">
        <v>533</v>
      </c>
      <c r="E114" s="399" t="s">
        <v>890</v>
      </c>
      <c r="F114" s="399" t="s">
        <v>1239</v>
      </c>
      <c r="G114" s="399" t="s">
        <v>1239</v>
      </c>
      <c r="H114" s="399" t="s">
        <v>1239</v>
      </c>
      <c r="I114" s="399" t="s">
        <v>2326</v>
      </c>
      <c r="J114" s="399" t="s">
        <v>2329</v>
      </c>
      <c r="K114" s="789">
        <v>44501</v>
      </c>
      <c r="L114" s="399">
        <v>0</v>
      </c>
      <c r="M114" s="399">
        <v>0</v>
      </c>
      <c r="N114" s="399">
        <v>11.406000000000001</v>
      </c>
      <c r="O114" s="399">
        <v>11.406000000000001</v>
      </c>
      <c r="P114" s="399">
        <v>11.406000000000001</v>
      </c>
      <c r="Q114" s="399">
        <v>11.406000000000001</v>
      </c>
      <c r="R114" s="399"/>
      <c r="S114" s="399">
        <v>69.680000000000007</v>
      </c>
      <c r="T114" s="399">
        <v>141.32</v>
      </c>
      <c r="U114" s="399"/>
      <c r="V114" s="399">
        <v>2406.6660000000002</v>
      </c>
      <c r="W114" s="399">
        <v>2406.6660000000002</v>
      </c>
      <c r="X114" s="399">
        <v>2367.2012399999999</v>
      </c>
      <c r="Y114" s="399">
        <v>0</v>
      </c>
      <c r="Z114" s="399">
        <v>602.11164161258637</v>
      </c>
      <c r="AA114" s="399">
        <v>0</v>
      </c>
      <c r="AB114" s="399">
        <v>0</v>
      </c>
      <c r="AC114" s="399">
        <v>0</v>
      </c>
      <c r="AD114" s="399">
        <v>0</v>
      </c>
      <c r="AE114" s="399">
        <v>0</v>
      </c>
      <c r="AF114" s="399">
        <v>1611.8837159448326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107.01100473237784</v>
      </c>
      <c r="AM114" s="399"/>
      <c r="AN114" s="399">
        <v>6.852067956213479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78.849203793941655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1690.7329197387742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2368.0313999999998</v>
      </c>
      <c r="CJ114" s="399">
        <v>-38.664600000000519</v>
      </c>
      <c r="CK114" s="399"/>
      <c r="CL114" s="399"/>
      <c r="CM114" s="399"/>
      <c r="CN114" s="399"/>
      <c r="CO114" s="399">
        <v>-39.464760000000091</v>
      </c>
      <c r="CP114" s="399">
        <v>0</v>
      </c>
      <c r="CQ114" s="399">
        <v>30</v>
      </c>
      <c r="CR114" s="399">
        <v>-39.548617287834531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0</v>
      </c>
      <c r="DA114" s="399">
        <v>0</v>
      </c>
      <c r="DB114" s="399">
        <v>0</v>
      </c>
      <c r="DC114" s="399">
        <v>0</v>
      </c>
      <c r="DD114" s="399">
        <v>0</v>
      </c>
      <c r="DE114" s="399">
        <v>0</v>
      </c>
      <c r="DF114" s="399">
        <v>0</v>
      </c>
      <c r="DG114" s="399">
        <v>0</v>
      </c>
      <c r="DH114" s="399">
        <v>0</v>
      </c>
      <c r="DI114" s="399">
        <v>-33.92517442272117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-5.3471475461755915</v>
      </c>
      <c r="DP114" s="399">
        <v>-0.27629531893765513</v>
      </c>
      <c r="DQ114" s="399">
        <v>0</v>
      </c>
      <c r="DR114" s="399">
        <v>0</v>
      </c>
      <c r="DS114" s="399"/>
      <c r="DT114" s="399"/>
      <c r="DU114" s="399"/>
      <c r="DV114" s="399">
        <v>0</v>
      </c>
      <c r="DW114" s="399">
        <v>0</v>
      </c>
      <c r="DX114" s="399">
        <v>0</v>
      </c>
      <c r="DY114" s="399">
        <v>-39.464760000000069</v>
      </c>
      <c r="DZ114" s="399">
        <v>0</v>
      </c>
      <c r="EA114" s="399">
        <v>0</v>
      </c>
      <c r="EB114" s="399">
        <v>0</v>
      </c>
      <c r="EC114" s="399">
        <v>0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218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956</v>
      </c>
      <c r="C115" s="399" t="s">
        <v>2334</v>
      </c>
      <c r="D115" s="399" t="s">
        <v>533</v>
      </c>
      <c r="E115" s="399" t="s">
        <v>890</v>
      </c>
      <c r="F115" s="399" t="s">
        <v>1239</v>
      </c>
      <c r="G115" s="399" t="s">
        <v>1239</v>
      </c>
      <c r="H115" s="399" t="s">
        <v>1239</v>
      </c>
      <c r="I115" s="399" t="s">
        <v>1239</v>
      </c>
      <c r="J115" s="399" t="s">
        <v>2329</v>
      </c>
      <c r="K115" s="789">
        <v>44501</v>
      </c>
      <c r="L115" s="399">
        <v>9750</v>
      </c>
      <c r="M115" s="399">
        <v>9750</v>
      </c>
      <c r="N115" s="399">
        <v>0</v>
      </c>
      <c r="O115" s="399">
        <v>0</v>
      </c>
      <c r="P115" s="399">
        <v>0</v>
      </c>
      <c r="Q115" s="399">
        <v>0</v>
      </c>
      <c r="R115" s="399">
        <v>35.15</v>
      </c>
      <c r="S115" s="399"/>
      <c r="T115" s="399"/>
      <c r="U115" s="399">
        <v>342712.5</v>
      </c>
      <c r="V115" s="399"/>
      <c r="W115" s="399">
        <v>342712.5</v>
      </c>
      <c r="X115" s="399">
        <v>250185</v>
      </c>
      <c r="Y115" s="399">
        <v>0</v>
      </c>
      <c r="Z115" s="399">
        <v>0</v>
      </c>
      <c r="AA115" s="399">
        <v>0</v>
      </c>
      <c r="AB115" s="399">
        <v>0</v>
      </c>
      <c r="AC115" s="399">
        <v>0</v>
      </c>
      <c r="AD115" s="399">
        <v>129980.88960211776</v>
      </c>
      <c r="AE115" s="399">
        <v>212725.27790751218</v>
      </c>
      <c r="AF115" s="399"/>
      <c r="AG115" s="399"/>
      <c r="AH115" s="399"/>
      <c r="AI115" s="399">
        <v>0</v>
      </c>
      <c r="AJ115" s="399">
        <v>0</v>
      </c>
      <c r="AK115" s="399">
        <v>0</v>
      </c>
      <c r="AL115" s="399">
        <v>0</v>
      </c>
      <c r="AM115" s="399"/>
      <c r="AN115" s="399">
        <v>0</v>
      </c>
      <c r="AO115" s="399">
        <v>0</v>
      </c>
      <c r="AP115" s="399">
        <v>0</v>
      </c>
      <c r="AQ115" s="399">
        <v>0</v>
      </c>
      <c r="AR115" s="399">
        <v>0</v>
      </c>
      <c r="AS115" s="399"/>
      <c r="AT115" s="399"/>
      <c r="AU115" s="399">
        <v>0</v>
      </c>
      <c r="AV115" s="399">
        <v>0</v>
      </c>
      <c r="AW115" s="399">
        <v>0</v>
      </c>
      <c r="AX115" s="399"/>
      <c r="AY115" s="399"/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/>
      <c r="BG115" s="399">
        <v>0</v>
      </c>
      <c r="BH115" s="399">
        <v>0</v>
      </c>
      <c r="BI115" s="399">
        <v>7774.16</v>
      </c>
      <c r="BJ115" s="399">
        <v>35881.32</v>
      </c>
      <c r="BK115" s="399">
        <v>392041.11</v>
      </c>
      <c r="BL115" s="399">
        <v>31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0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250185</v>
      </c>
      <c r="CJ115" s="399">
        <v>-92527.530000000028</v>
      </c>
      <c r="CK115" s="399"/>
      <c r="CL115" s="399"/>
      <c r="CM115" s="399"/>
      <c r="CN115" s="399"/>
      <c r="CO115" s="399">
        <v>-92527.499999999985</v>
      </c>
      <c r="CP115" s="399">
        <v>0</v>
      </c>
      <c r="CQ115" s="399">
        <v>30</v>
      </c>
      <c r="CR115" s="399">
        <v>-619.06039256585063</v>
      </c>
      <c r="CS115" s="399">
        <v>0</v>
      </c>
      <c r="CT115" s="399">
        <v>0</v>
      </c>
      <c r="CU115" s="399">
        <v>0</v>
      </c>
      <c r="CV115" s="399">
        <v>0</v>
      </c>
      <c r="CW115" s="399"/>
      <c r="CX115" s="399"/>
      <c r="CY115" s="399"/>
      <c r="CZ115" s="399">
        <v>-619.06039256585063</v>
      </c>
      <c r="DA115" s="399">
        <v>0</v>
      </c>
      <c r="DB115" s="399">
        <v>0</v>
      </c>
      <c r="DC115" s="399"/>
      <c r="DD115" s="399"/>
      <c r="DE115" s="399">
        <v>0</v>
      </c>
      <c r="DF115" s="399">
        <v>0</v>
      </c>
      <c r="DG115" s="399">
        <v>0</v>
      </c>
      <c r="DH115" s="399">
        <v>0</v>
      </c>
      <c r="DI115" s="399">
        <v>0</v>
      </c>
      <c r="DJ115" s="399"/>
      <c r="DK115" s="399">
        <v>0</v>
      </c>
      <c r="DL115" s="399">
        <v>0</v>
      </c>
      <c r="DM115" s="399"/>
      <c r="DN115" s="399">
        <v>0</v>
      </c>
      <c r="DO115" s="399">
        <v>0</v>
      </c>
      <c r="DP115" s="399">
        <v>0</v>
      </c>
      <c r="DQ115" s="399">
        <v>0</v>
      </c>
      <c r="DR115" s="399">
        <v>0</v>
      </c>
      <c r="DS115" s="399"/>
      <c r="DT115" s="399"/>
      <c r="DU115" s="399">
        <v>212725.27790751218</v>
      </c>
      <c r="DV115" s="399"/>
      <c r="DW115" s="399">
        <v>0</v>
      </c>
      <c r="DX115" s="399">
        <v>0</v>
      </c>
      <c r="DY115" s="399">
        <v>-92527.5</v>
      </c>
      <c r="DZ115" s="399"/>
      <c r="EA115" s="399">
        <v>0</v>
      </c>
      <c r="EB115" s="399"/>
      <c r="EC115" s="399">
        <v>-91901.443548830182</v>
      </c>
      <c r="ED115" s="399"/>
      <c r="EE115" s="399">
        <v>0</v>
      </c>
      <c r="EF115" s="399">
        <v>0</v>
      </c>
      <c r="EG115" s="399"/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/>
      <c r="EN115" s="399"/>
      <c r="EO115" s="399">
        <v>0</v>
      </c>
      <c r="EP115" s="399">
        <v>0</v>
      </c>
      <c r="EQ115" s="399"/>
      <c r="ER115" s="399">
        <v>0</v>
      </c>
      <c r="ES115" s="399"/>
      <c r="ET115" s="399">
        <v>0</v>
      </c>
      <c r="EU115" s="399"/>
      <c r="EV115" s="399">
        <v>218</v>
      </c>
      <c r="EW115" s="399"/>
      <c r="EX115" s="399"/>
      <c r="EY115" s="399"/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2361</v>
      </c>
      <c r="C116" s="399" t="s">
        <v>2334</v>
      </c>
      <c r="D116" s="399" t="s">
        <v>533</v>
      </c>
      <c r="E116" s="399" t="s">
        <v>890</v>
      </c>
      <c r="F116" s="399" t="s">
        <v>1239</v>
      </c>
      <c r="G116" s="399" t="s">
        <v>1239</v>
      </c>
      <c r="H116" s="399" t="s">
        <v>1239</v>
      </c>
      <c r="I116" s="399" t="s">
        <v>1239</v>
      </c>
      <c r="J116" s="399" t="s">
        <v>2329</v>
      </c>
      <c r="K116" s="789">
        <v>44501</v>
      </c>
      <c r="L116" s="399">
        <v>397</v>
      </c>
      <c r="M116" s="399">
        <v>397</v>
      </c>
      <c r="N116" s="399">
        <v>0</v>
      </c>
      <c r="O116" s="399">
        <v>0</v>
      </c>
      <c r="P116" s="399">
        <v>0</v>
      </c>
      <c r="Q116" s="399">
        <v>0</v>
      </c>
      <c r="R116" s="399">
        <v>35.15</v>
      </c>
      <c r="S116" s="399"/>
      <c r="T116" s="399"/>
      <c r="U116" s="399">
        <v>13954.55</v>
      </c>
      <c r="V116" s="399"/>
      <c r="W116" s="399">
        <v>13954.55</v>
      </c>
      <c r="X116" s="399">
        <v>10187.02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5292.5551971323848</v>
      </c>
      <c r="AE116" s="399">
        <v>8661.7369568494705</v>
      </c>
      <c r="AF116" s="399"/>
      <c r="AG116" s="399"/>
      <c r="AH116" s="399"/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0</v>
      </c>
      <c r="AO116" s="399">
        <v>0</v>
      </c>
      <c r="AP116" s="399">
        <v>0</v>
      </c>
      <c r="AQ116" s="399">
        <v>0</v>
      </c>
      <c r="AR116" s="399">
        <v>0</v>
      </c>
      <c r="AS116" s="399"/>
      <c r="AT116" s="399"/>
      <c r="AU116" s="399">
        <v>0</v>
      </c>
      <c r="AV116" s="399">
        <v>0</v>
      </c>
      <c r="AW116" s="399">
        <v>0</v>
      </c>
      <c r="AX116" s="399"/>
      <c r="AY116" s="399"/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/>
      <c r="BG116" s="399">
        <v>0</v>
      </c>
      <c r="BH116" s="399">
        <v>0</v>
      </c>
      <c r="BI116" s="399">
        <v>101.51</v>
      </c>
      <c r="BJ116" s="399">
        <v>468.52</v>
      </c>
      <c r="BK116" s="399">
        <v>5914.31</v>
      </c>
      <c r="BL116" s="399">
        <v>2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0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10187.02</v>
      </c>
      <c r="CJ116" s="399">
        <v>-3767.5599999999995</v>
      </c>
      <c r="CK116" s="399"/>
      <c r="CL116" s="399"/>
      <c r="CM116" s="399"/>
      <c r="CN116" s="399"/>
      <c r="CO116" s="399">
        <v>-3767.5299999999993</v>
      </c>
      <c r="CP116" s="399">
        <v>0</v>
      </c>
      <c r="CQ116" s="399">
        <v>30</v>
      </c>
      <c r="CR116" s="399">
        <v>-25.206869317809833</v>
      </c>
      <c r="CS116" s="399">
        <v>0</v>
      </c>
      <c r="CT116" s="399">
        <v>0</v>
      </c>
      <c r="CU116" s="399">
        <v>0</v>
      </c>
      <c r="CV116" s="399">
        <v>0</v>
      </c>
      <c r="CW116" s="399"/>
      <c r="CX116" s="399"/>
      <c r="CY116" s="399"/>
      <c r="CZ116" s="399">
        <v>-25.206869317809833</v>
      </c>
      <c r="DA116" s="399">
        <v>0</v>
      </c>
      <c r="DB116" s="399">
        <v>0</v>
      </c>
      <c r="DC116" s="399"/>
      <c r="DD116" s="399"/>
      <c r="DE116" s="399">
        <v>0</v>
      </c>
      <c r="DF116" s="399">
        <v>0</v>
      </c>
      <c r="DG116" s="399">
        <v>0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/>
      <c r="DN116" s="399">
        <v>0</v>
      </c>
      <c r="DO116" s="399">
        <v>0</v>
      </c>
      <c r="DP116" s="399">
        <v>0</v>
      </c>
      <c r="DQ116" s="399">
        <v>0</v>
      </c>
      <c r="DR116" s="399">
        <v>0</v>
      </c>
      <c r="DS116" s="399"/>
      <c r="DT116" s="399"/>
      <c r="DU116" s="399">
        <v>8661.7369568494705</v>
      </c>
      <c r="DV116" s="399"/>
      <c r="DW116" s="399">
        <v>0</v>
      </c>
      <c r="DX116" s="399">
        <v>0</v>
      </c>
      <c r="DY116" s="399">
        <v>-3767.5299999999988</v>
      </c>
      <c r="DZ116" s="399"/>
      <c r="EA116" s="399">
        <v>0</v>
      </c>
      <c r="EB116" s="399"/>
      <c r="EC116" s="399">
        <v>-3742.0382655267267</v>
      </c>
      <c r="ED116" s="399"/>
      <c r="EE116" s="399">
        <v>0</v>
      </c>
      <c r="EF116" s="399">
        <v>0</v>
      </c>
      <c r="EG116" s="399"/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/>
      <c r="EN116" s="399"/>
      <c r="EO116" s="399">
        <v>0</v>
      </c>
      <c r="EP116" s="399">
        <v>0</v>
      </c>
      <c r="EQ116" s="399"/>
      <c r="ER116" s="399">
        <v>0</v>
      </c>
      <c r="ES116" s="399"/>
      <c r="ET116" s="399">
        <v>0</v>
      </c>
      <c r="EU116" s="399"/>
      <c r="EV116" s="399">
        <v>218</v>
      </c>
      <c r="EW116" s="399"/>
      <c r="EX116" s="399"/>
      <c r="EY116" s="399"/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956</v>
      </c>
      <c r="C117" s="399" t="s">
        <v>2328</v>
      </c>
      <c r="D117" s="399" t="s">
        <v>1826</v>
      </c>
      <c r="E117" s="399" t="s">
        <v>918</v>
      </c>
      <c r="F117" s="399" t="s">
        <v>1239</v>
      </c>
      <c r="G117" s="399" t="s">
        <v>1239</v>
      </c>
      <c r="H117" s="399" t="s">
        <v>1239</v>
      </c>
      <c r="I117" s="399" t="s">
        <v>1239</v>
      </c>
      <c r="J117" s="399" t="s">
        <v>2329</v>
      </c>
      <c r="K117" s="789">
        <v>44501</v>
      </c>
      <c r="L117" s="399">
        <v>0</v>
      </c>
      <c r="M117" s="399">
        <v>0</v>
      </c>
      <c r="N117" s="399">
        <v>205.809</v>
      </c>
      <c r="O117" s="399">
        <v>205.809</v>
      </c>
      <c r="P117" s="399">
        <v>205.809</v>
      </c>
      <c r="Q117" s="399">
        <v>205.809</v>
      </c>
      <c r="R117" s="399"/>
      <c r="S117" s="399">
        <v>521.86</v>
      </c>
      <c r="T117" s="399">
        <v>141.32</v>
      </c>
      <c r="U117" s="399"/>
      <c r="V117" s="399">
        <v>136488.41261999999</v>
      </c>
      <c r="W117" s="399">
        <v>136488.41261999999</v>
      </c>
      <c r="X117" s="399">
        <v>106676.97897</v>
      </c>
      <c r="Y117" s="399">
        <v>0</v>
      </c>
      <c r="Z117" s="399">
        <v>12487.881438549661</v>
      </c>
      <c r="AA117" s="399">
        <v>0</v>
      </c>
      <c r="AB117" s="399">
        <v>0</v>
      </c>
      <c r="AC117" s="399">
        <v>0</v>
      </c>
      <c r="AD117" s="399">
        <v>22135.540481765682</v>
      </c>
      <c r="AE117" s="399">
        <v>66877.798138938349</v>
      </c>
      <c r="AF117" s="399">
        <v>29084.707670953008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1930.8984633496361</v>
      </c>
      <c r="AM117" s="399"/>
      <c r="AN117" s="399">
        <v>285.42964525946059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3684.9891547452198</v>
      </c>
      <c r="BH117" s="399">
        <v>0</v>
      </c>
      <c r="BI117" s="399">
        <v>914.21</v>
      </c>
      <c r="BJ117" s="399">
        <v>4230.8</v>
      </c>
      <c r="BK117" s="399">
        <v>46520.41</v>
      </c>
      <c r="BL117" s="399">
        <v>555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32769.696825698229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106677.4973</v>
      </c>
      <c r="CJ117" s="399">
        <v>-29810.945319999984</v>
      </c>
      <c r="CK117" s="399"/>
      <c r="CL117" s="399"/>
      <c r="CM117" s="399"/>
      <c r="CN117" s="399"/>
      <c r="CO117" s="399">
        <v>-29811.433650000003</v>
      </c>
      <c r="CP117" s="399">
        <v>0</v>
      </c>
      <c r="CQ117" s="399">
        <v>30</v>
      </c>
      <c r="CR117" s="399">
        <v>-917.03085017215926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-105.42500841667425</v>
      </c>
      <c r="DA117" s="399">
        <v>0</v>
      </c>
      <c r="DB117" s="399">
        <v>0</v>
      </c>
      <c r="DC117" s="399">
        <v>0</v>
      </c>
      <c r="DD117" s="399">
        <v>0</v>
      </c>
      <c r="DE117" s="399">
        <v>0</v>
      </c>
      <c r="DF117" s="399">
        <v>0</v>
      </c>
      <c r="DG117" s="399">
        <v>0</v>
      </c>
      <c r="DH117" s="399">
        <v>0</v>
      </c>
      <c r="DI117" s="399">
        <v>-703.61296260342897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-96.483525278875277</v>
      </c>
      <c r="DP117" s="399">
        <v>-11.50935387319123</v>
      </c>
      <c r="DQ117" s="399">
        <v>0</v>
      </c>
      <c r="DR117" s="399">
        <v>0</v>
      </c>
      <c r="DS117" s="399"/>
      <c r="DT117" s="399"/>
      <c r="DU117" s="399"/>
      <c r="DV117" s="399">
        <v>66877.798138938349</v>
      </c>
      <c r="DW117" s="399">
        <v>0</v>
      </c>
      <c r="DX117" s="399">
        <v>0</v>
      </c>
      <c r="DY117" s="399">
        <v>-29811.433650000006</v>
      </c>
      <c r="DZ117" s="399">
        <v>0</v>
      </c>
      <c r="EA117" s="399">
        <v>0</v>
      </c>
      <c r="EB117" s="399">
        <v>0</v>
      </c>
      <c r="EC117" s="399">
        <v>-28892.505163433823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218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2361</v>
      </c>
      <c r="C118" s="399" t="s">
        <v>2328</v>
      </c>
      <c r="D118" s="399" t="s">
        <v>1826</v>
      </c>
      <c r="E118" s="399" t="s">
        <v>918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2329</v>
      </c>
      <c r="K118" s="789">
        <v>44501</v>
      </c>
      <c r="L118" s="399">
        <v>0</v>
      </c>
      <c r="M118" s="399">
        <v>0</v>
      </c>
      <c r="N118" s="399">
        <v>4.6859999999999999</v>
      </c>
      <c r="O118" s="399">
        <v>4.6859999999999999</v>
      </c>
      <c r="P118" s="399">
        <v>4.6859999999999999</v>
      </c>
      <c r="Q118" s="399">
        <v>4.6859999999999999</v>
      </c>
      <c r="R118" s="399"/>
      <c r="S118" s="399">
        <v>521.86</v>
      </c>
      <c r="T118" s="399">
        <v>141.32</v>
      </c>
      <c r="U118" s="399"/>
      <c r="V118" s="399">
        <v>3107.6614800000002</v>
      </c>
      <c r="W118" s="399">
        <v>3107.6614800000002</v>
      </c>
      <c r="X118" s="399">
        <v>2428.8943799999997</v>
      </c>
      <c r="Y118" s="399">
        <v>0</v>
      </c>
      <c r="Z118" s="399">
        <v>284.33262112465297</v>
      </c>
      <c r="AA118" s="399">
        <v>0</v>
      </c>
      <c r="AB118" s="399">
        <v>0</v>
      </c>
      <c r="AC118" s="399">
        <v>0</v>
      </c>
      <c r="AD118" s="399">
        <v>503.99711721816823</v>
      </c>
      <c r="AE118" s="399">
        <v>1522.7194247047755</v>
      </c>
      <c r="AF118" s="399">
        <v>662.22050612988642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43.964016147284106</v>
      </c>
      <c r="AM118" s="399"/>
      <c r="AN118" s="399">
        <v>6.498857278767364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83.90235207953053</v>
      </c>
      <c r="BH118" s="399">
        <v>0</v>
      </c>
      <c r="BI118" s="399">
        <v>20.72</v>
      </c>
      <c r="BJ118" s="399">
        <v>96.35</v>
      </c>
      <c r="BK118" s="399">
        <v>3912.66</v>
      </c>
      <c r="BL118" s="399">
        <v>31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746.1228582094169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2430.9677000000001</v>
      </c>
      <c r="CJ118" s="399">
        <v>-676.72378000000072</v>
      </c>
      <c r="CK118" s="399"/>
      <c r="CL118" s="399"/>
      <c r="CM118" s="399"/>
      <c r="CN118" s="399"/>
      <c r="CO118" s="399">
        <v>-678.76710000000014</v>
      </c>
      <c r="CP118" s="399">
        <v>0</v>
      </c>
      <c r="CQ118" s="399">
        <v>30</v>
      </c>
      <c r="CR118" s="399">
        <v>-20.879585265497326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-2.4003886586132239</v>
      </c>
      <c r="DA118" s="399">
        <v>0</v>
      </c>
      <c r="DB118" s="399">
        <v>0</v>
      </c>
      <c r="DC118" s="399">
        <v>0</v>
      </c>
      <c r="DD118" s="399">
        <v>0</v>
      </c>
      <c r="DE118" s="399">
        <v>0</v>
      </c>
      <c r="DF118" s="399">
        <v>0</v>
      </c>
      <c r="DG118" s="399">
        <v>0</v>
      </c>
      <c r="DH118" s="399">
        <v>0</v>
      </c>
      <c r="DI118" s="399">
        <v>-16.020340912008976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-2.1968028582657197</v>
      </c>
      <c r="DP118" s="399">
        <v>-0.26205283660954759</v>
      </c>
      <c r="DQ118" s="399">
        <v>0</v>
      </c>
      <c r="DR118" s="399">
        <v>0</v>
      </c>
      <c r="DS118" s="399"/>
      <c r="DT118" s="399"/>
      <c r="DU118" s="399"/>
      <c r="DV118" s="399">
        <v>1522.7194247047755</v>
      </c>
      <c r="DW118" s="399">
        <v>0</v>
      </c>
      <c r="DX118" s="399">
        <v>0</v>
      </c>
      <c r="DY118" s="399">
        <v>-678.76710000000026</v>
      </c>
      <c r="DZ118" s="399">
        <v>0</v>
      </c>
      <c r="EA118" s="399">
        <v>0</v>
      </c>
      <c r="EB118" s="399">
        <v>0</v>
      </c>
      <c r="EC118" s="399">
        <v>-657.84430805188754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218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956</v>
      </c>
      <c r="C119" s="399" t="s">
        <v>2334</v>
      </c>
      <c r="D119" s="399" t="s">
        <v>533</v>
      </c>
      <c r="E119" s="399" t="s">
        <v>918</v>
      </c>
      <c r="F119" s="399" t="s">
        <v>1239</v>
      </c>
      <c r="G119" s="399" t="s">
        <v>1239</v>
      </c>
      <c r="H119" s="399" t="s">
        <v>1239</v>
      </c>
      <c r="I119" s="399" t="s">
        <v>893</v>
      </c>
      <c r="J119" s="399" t="s">
        <v>2329</v>
      </c>
      <c r="K119" s="789">
        <v>44501</v>
      </c>
      <c r="L119" s="399">
        <v>0</v>
      </c>
      <c r="M119" s="399">
        <v>0</v>
      </c>
      <c r="N119" s="399">
        <v>1.647</v>
      </c>
      <c r="O119" s="399">
        <v>1.647</v>
      </c>
      <c r="P119" s="399">
        <v>1.647</v>
      </c>
      <c r="Q119" s="399">
        <v>1.647</v>
      </c>
      <c r="R119" s="399"/>
      <c r="S119" s="399">
        <v>2741.05</v>
      </c>
      <c r="T119" s="399">
        <v>141.32</v>
      </c>
      <c r="U119" s="399"/>
      <c r="V119" s="399">
        <v>4747.2633900000001</v>
      </c>
      <c r="W119" s="399">
        <v>4747.2633900000001</v>
      </c>
      <c r="X119" s="399">
        <v>3399.2103599999996</v>
      </c>
      <c r="Y119" s="399">
        <v>0</v>
      </c>
      <c r="Z119" s="399">
        <v>86.943527418545472</v>
      </c>
      <c r="AA119" s="399">
        <v>0</v>
      </c>
      <c r="AB119" s="399">
        <v>0</v>
      </c>
      <c r="AC119" s="399">
        <v>0</v>
      </c>
      <c r="AD119" s="399">
        <v>1306.9957561238391</v>
      </c>
      <c r="AE119" s="399">
        <v>3092.7509889861667</v>
      </c>
      <c r="AF119" s="399">
        <v>232.75227776268096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15.452141398757346</v>
      </c>
      <c r="AM119" s="399"/>
      <c r="AN119" s="399">
        <v>0.98942275327753804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11.385642525742757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244.13792028842371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3405.4019999999996</v>
      </c>
      <c r="CJ119" s="399">
        <v>-1341.8913900000011</v>
      </c>
      <c r="CK119" s="399"/>
      <c r="CL119" s="399"/>
      <c r="CM119" s="399"/>
      <c r="CN119" s="399"/>
      <c r="CO119" s="399">
        <v>-1348.0530300000005</v>
      </c>
      <c r="CP119" s="399">
        <v>0</v>
      </c>
      <c r="CQ119" s="399">
        <v>30</v>
      </c>
      <c r="CR119" s="399">
        <v>-11.935561605198018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-6.224832806928589</v>
      </c>
      <c r="DA119" s="399">
        <v>0</v>
      </c>
      <c r="DB119" s="399">
        <v>0</v>
      </c>
      <c r="DC119" s="399">
        <v>0</v>
      </c>
      <c r="DD119" s="399">
        <v>0</v>
      </c>
      <c r="DE119" s="399">
        <v>0</v>
      </c>
      <c r="DF119" s="399">
        <v>0</v>
      </c>
      <c r="DG119" s="399">
        <v>0</v>
      </c>
      <c r="DH119" s="399">
        <v>0</v>
      </c>
      <c r="DI119" s="399">
        <v>-4.8987166644065923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-0.77211572931362404</v>
      </c>
      <c r="DP119" s="399">
        <v>-3.9896404549387809E-2</v>
      </c>
      <c r="DQ119" s="399">
        <v>0</v>
      </c>
      <c r="DR119" s="399">
        <v>0</v>
      </c>
      <c r="DS119" s="399"/>
      <c r="DT119" s="399"/>
      <c r="DU119" s="399"/>
      <c r="DV119" s="399">
        <v>3092.7509889861667</v>
      </c>
      <c r="DW119" s="399">
        <v>0</v>
      </c>
      <c r="DX119" s="399">
        <v>0</v>
      </c>
      <c r="DY119" s="399">
        <v>-1348.0530300000005</v>
      </c>
      <c r="DZ119" s="399">
        <v>0</v>
      </c>
      <c r="EA119" s="399">
        <v>0</v>
      </c>
      <c r="EB119" s="399">
        <v>0</v>
      </c>
      <c r="EC119" s="399">
        <v>-1336.1283775051743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218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956</v>
      </c>
      <c r="C120" s="399" t="s">
        <v>2334</v>
      </c>
      <c r="D120" s="399" t="s">
        <v>533</v>
      </c>
      <c r="E120" s="399" t="s">
        <v>918</v>
      </c>
      <c r="F120" s="399" t="s">
        <v>1239</v>
      </c>
      <c r="G120" s="399" t="s">
        <v>1239</v>
      </c>
      <c r="H120" s="399" t="s">
        <v>1239</v>
      </c>
      <c r="I120" s="399" t="s">
        <v>2326</v>
      </c>
      <c r="J120" s="399" t="s">
        <v>2329</v>
      </c>
      <c r="K120" s="789">
        <v>44501</v>
      </c>
      <c r="L120" s="399">
        <v>0</v>
      </c>
      <c r="M120" s="399">
        <v>0</v>
      </c>
      <c r="N120" s="399">
        <v>30.135000000000002</v>
      </c>
      <c r="O120" s="399">
        <v>30.135000000000002</v>
      </c>
      <c r="P120" s="399">
        <v>30.135000000000002</v>
      </c>
      <c r="Q120" s="399">
        <v>30.135000000000002</v>
      </c>
      <c r="R120" s="399"/>
      <c r="S120" s="399">
        <v>69.680000000000007</v>
      </c>
      <c r="T120" s="399">
        <v>141.32</v>
      </c>
      <c r="U120" s="399"/>
      <c r="V120" s="399">
        <v>6358.4850000000006</v>
      </c>
      <c r="W120" s="399">
        <v>6358.4850000000006</v>
      </c>
      <c r="X120" s="399">
        <v>6254.2179000000006</v>
      </c>
      <c r="Y120" s="399">
        <v>0</v>
      </c>
      <c r="Z120" s="399">
        <v>1590.7973277218384</v>
      </c>
      <c r="AA120" s="399">
        <v>0</v>
      </c>
      <c r="AB120" s="399">
        <v>0</v>
      </c>
      <c r="AC120" s="399">
        <v>0</v>
      </c>
      <c r="AD120" s="399">
        <v>0</v>
      </c>
      <c r="AE120" s="399">
        <v>0</v>
      </c>
      <c r="AF120" s="399">
        <v>4258.6459565138985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282.72633943627972</v>
      </c>
      <c r="AM120" s="399"/>
      <c r="AN120" s="399">
        <v>18.103372598675538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208.32200213312569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4466.9679586470238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6255.2555999999995</v>
      </c>
      <c r="CJ120" s="399">
        <v>-103.25940000000173</v>
      </c>
      <c r="CK120" s="399"/>
      <c r="CL120" s="399"/>
      <c r="CM120" s="399"/>
      <c r="CN120" s="399"/>
      <c r="CO120" s="399">
        <v>-104.26710000000024</v>
      </c>
      <c r="CP120" s="399">
        <v>0</v>
      </c>
      <c r="CQ120" s="399">
        <v>30</v>
      </c>
      <c r="CR120" s="399">
        <v>-104.48865351296445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0</v>
      </c>
      <c r="DA120" s="399">
        <v>0</v>
      </c>
      <c r="DB120" s="399">
        <v>0</v>
      </c>
      <c r="DC120" s="399">
        <v>0</v>
      </c>
      <c r="DD120" s="399">
        <v>0</v>
      </c>
      <c r="DE120" s="399">
        <v>0</v>
      </c>
      <c r="DF120" s="399">
        <v>0</v>
      </c>
      <c r="DG120" s="399">
        <v>0</v>
      </c>
      <c r="DH120" s="399">
        <v>0</v>
      </c>
      <c r="DI120" s="399">
        <v>-89.631345890645207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-14.127326959845846</v>
      </c>
      <c r="DP120" s="399">
        <v>-0.72998066247468074</v>
      </c>
      <c r="DQ120" s="399">
        <v>0</v>
      </c>
      <c r="DR120" s="399">
        <v>0</v>
      </c>
      <c r="DS120" s="399"/>
      <c r="DT120" s="399"/>
      <c r="DU120" s="399"/>
      <c r="DV120" s="399">
        <v>0</v>
      </c>
      <c r="DW120" s="399">
        <v>0</v>
      </c>
      <c r="DX120" s="399">
        <v>0</v>
      </c>
      <c r="DY120" s="399">
        <v>-104.26710000000026</v>
      </c>
      <c r="DZ120" s="399">
        <v>0</v>
      </c>
      <c r="EA120" s="399">
        <v>0</v>
      </c>
      <c r="EB120" s="399">
        <v>0</v>
      </c>
      <c r="EC120" s="399">
        <v>0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218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956</v>
      </c>
      <c r="C121" s="399" t="s">
        <v>2334</v>
      </c>
      <c r="D121" s="399" t="s">
        <v>533</v>
      </c>
      <c r="E121" s="399" t="s">
        <v>918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2329</v>
      </c>
      <c r="K121" s="789">
        <v>44501</v>
      </c>
      <c r="L121" s="399">
        <v>310</v>
      </c>
      <c r="M121" s="399">
        <v>310</v>
      </c>
      <c r="N121" s="399">
        <v>0</v>
      </c>
      <c r="O121" s="399">
        <v>0</v>
      </c>
      <c r="P121" s="399">
        <v>0</v>
      </c>
      <c r="Q121" s="399">
        <v>0</v>
      </c>
      <c r="R121" s="399">
        <v>35.15</v>
      </c>
      <c r="S121" s="399"/>
      <c r="T121" s="399"/>
      <c r="U121" s="399">
        <v>10896.5</v>
      </c>
      <c r="V121" s="399"/>
      <c r="W121" s="399">
        <v>10896.5</v>
      </c>
      <c r="X121" s="399">
        <v>7954.6</v>
      </c>
      <c r="Y121" s="399">
        <v>0</v>
      </c>
      <c r="Z121" s="399">
        <v>0</v>
      </c>
      <c r="AA121" s="399">
        <v>0</v>
      </c>
      <c r="AB121" s="399">
        <v>0</v>
      </c>
      <c r="AC121" s="399">
        <v>0</v>
      </c>
      <c r="AD121" s="399">
        <v>4132.7257206827189</v>
      </c>
      <c r="AE121" s="399">
        <v>6763.5729385978229</v>
      </c>
      <c r="AF121" s="399"/>
      <c r="AG121" s="399"/>
      <c r="AH121" s="399"/>
      <c r="AI121" s="399">
        <v>0</v>
      </c>
      <c r="AJ121" s="399">
        <v>0</v>
      </c>
      <c r="AK121" s="399">
        <v>0</v>
      </c>
      <c r="AL121" s="399">
        <v>0</v>
      </c>
      <c r="AM121" s="399"/>
      <c r="AN121" s="399">
        <v>0</v>
      </c>
      <c r="AO121" s="399">
        <v>0</v>
      </c>
      <c r="AP121" s="399">
        <v>0</v>
      </c>
      <c r="AQ121" s="399">
        <v>0</v>
      </c>
      <c r="AR121" s="399">
        <v>0</v>
      </c>
      <c r="AS121" s="399"/>
      <c r="AT121" s="399"/>
      <c r="AU121" s="399">
        <v>0</v>
      </c>
      <c r="AV121" s="399">
        <v>0</v>
      </c>
      <c r="AW121" s="399">
        <v>0</v>
      </c>
      <c r="AX121" s="399"/>
      <c r="AY121" s="399"/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/>
      <c r="BG121" s="399">
        <v>0</v>
      </c>
      <c r="BH121" s="399">
        <v>0</v>
      </c>
      <c r="BI121" s="399">
        <v>152.68</v>
      </c>
      <c r="BJ121" s="399">
        <v>704.75</v>
      </c>
      <c r="BK121" s="399">
        <v>7688.49</v>
      </c>
      <c r="BL121" s="399">
        <v>3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0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7954.6</v>
      </c>
      <c r="CJ121" s="399">
        <v>-2941.9300000000003</v>
      </c>
      <c r="CK121" s="399"/>
      <c r="CL121" s="399"/>
      <c r="CM121" s="399"/>
      <c r="CN121" s="399"/>
      <c r="CO121" s="399">
        <v>-2941.8999999999996</v>
      </c>
      <c r="CP121" s="399">
        <v>0</v>
      </c>
      <c r="CQ121" s="399">
        <v>30</v>
      </c>
      <c r="CR121" s="399">
        <v>-19.682945814915001</v>
      </c>
      <c r="CS121" s="399">
        <v>0</v>
      </c>
      <c r="CT121" s="399">
        <v>0</v>
      </c>
      <c r="CU121" s="399">
        <v>0</v>
      </c>
      <c r="CV121" s="399">
        <v>0</v>
      </c>
      <c r="CW121" s="399"/>
      <c r="CX121" s="399"/>
      <c r="CY121" s="399"/>
      <c r="CZ121" s="399">
        <v>-19.682945814915001</v>
      </c>
      <c r="DA121" s="399">
        <v>0</v>
      </c>
      <c r="DB121" s="399">
        <v>0</v>
      </c>
      <c r="DC121" s="399"/>
      <c r="DD121" s="399"/>
      <c r="DE121" s="399">
        <v>0</v>
      </c>
      <c r="DF121" s="399">
        <v>0</v>
      </c>
      <c r="DG121" s="399">
        <v>0</v>
      </c>
      <c r="DH121" s="399">
        <v>0</v>
      </c>
      <c r="DI121" s="399">
        <v>0</v>
      </c>
      <c r="DJ121" s="399"/>
      <c r="DK121" s="399">
        <v>0</v>
      </c>
      <c r="DL121" s="399">
        <v>0</v>
      </c>
      <c r="DM121" s="399"/>
      <c r="DN121" s="399">
        <v>0</v>
      </c>
      <c r="DO121" s="399">
        <v>0</v>
      </c>
      <c r="DP121" s="399">
        <v>0</v>
      </c>
      <c r="DQ121" s="399">
        <v>0</v>
      </c>
      <c r="DR121" s="399">
        <v>0</v>
      </c>
      <c r="DS121" s="399"/>
      <c r="DT121" s="399"/>
      <c r="DU121" s="399">
        <v>6763.5729385978229</v>
      </c>
      <c r="DV121" s="399"/>
      <c r="DW121" s="399">
        <v>0</v>
      </c>
      <c r="DX121" s="399">
        <v>0</v>
      </c>
      <c r="DY121" s="399">
        <v>-2941.8999999999996</v>
      </c>
      <c r="DZ121" s="399"/>
      <c r="EA121" s="399">
        <v>0</v>
      </c>
      <c r="EB121" s="399"/>
      <c r="EC121" s="399">
        <v>-2921.994615398703</v>
      </c>
      <c r="ED121" s="399"/>
      <c r="EE121" s="399">
        <v>0</v>
      </c>
      <c r="EF121" s="399">
        <v>0</v>
      </c>
      <c r="EG121" s="399"/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/>
      <c r="EN121" s="399"/>
      <c r="EO121" s="399">
        <v>0</v>
      </c>
      <c r="EP121" s="399">
        <v>0</v>
      </c>
      <c r="EQ121" s="399"/>
      <c r="ER121" s="399">
        <v>0</v>
      </c>
      <c r="ES121" s="399"/>
      <c r="ET121" s="399">
        <v>0</v>
      </c>
      <c r="EU121" s="399"/>
      <c r="EV121" s="399">
        <v>218</v>
      </c>
      <c r="EW121" s="399"/>
      <c r="EX121" s="399"/>
      <c r="EY121" s="399"/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956</v>
      </c>
      <c r="C122" s="399" t="s">
        <v>2328</v>
      </c>
      <c r="D122" s="399" t="s">
        <v>2335</v>
      </c>
      <c r="E122" s="399" t="s">
        <v>894</v>
      </c>
      <c r="F122" s="399" t="s">
        <v>1239</v>
      </c>
      <c r="G122" s="399" t="s">
        <v>1239</v>
      </c>
      <c r="H122" s="399" t="s">
        <v>1239</v>
      </c>
      <c r="I122" s="399" t="s">
        <v>1239</v>
      </c>
      <c r="J122" s="399" t="s">
        <v>2329</v>
      </c>
      <c r="K122" s="789">
        <v>44501</v>
      </c>
      <c r="L122" s="399">
        <v>0</v>
      </c>
      <c r="M122" s="399">
        <v>0</v>
      </c>
      <c r="N122" s="399">
        <v>3277.9079999999999</v>
      </c>
      <c r="O122" s="399">
        <v>3277.9079999999999</v>
      </c>
      <c r="P122" s="399">
        <v>3277.9079999999999</v>
      </c>
      <c r="Q122" s="399">
        <v>3277.9079999999999</v>
      </c>
      <c r="R122" s="399"/>
      <c r="S122" s="399">
        <v>521.86</v>
      </c>
      <c r="T122" s="399">
        <v>141.32</v>
      </c>
      <c r="U122" s="399"/>
      <c r="V122" s="399">
        <v>2173843.0274399999</v>
      </c>
      <c r="W122" s="399">
        <v>2173843.0274399999</v>
      </c>
      <c r="X122" s="399">
        <v>1699038.0536399998</v>
      </c>
      <c r="Y122" s="399">
        <v>0</v>
      </c>
      <c r="Z122" s="399">
        <v>198893.76300586193</v>
      </c>
      <c r="AA122" s="399">
        <v>0</v>
      </c>
      <c r="AB122" s="399">
        <v>0</v>
      </c>
      <c r="AC122" s="399">
        <v>0</v>
      </c>
      <c r="AD122" s="399">
        <v>352551.46873802203</v>
      </c>
      <c r="AE122" s="399">
        <v>1065158.8100715282</v>
      </c>
      <c r="AF122" s="399">
        <v>463230.45130328718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30753.307776635029</v>
      </c>
      <c r="AM122" s="399"/>
      <c r="AN122" s="399">
        <v>4546.0213966986285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58690.608429430169</v>
      </c>
      <c r="BH122" s="399">
        <v>0</v>
      </c>
      <c r="BI122" s="399">
        <v>14571.61</v>
      </c>
      <c r="BJ122" s="399">
        <v>67399.19</v>
      </c>
      <c r="BK122" s="399">
        <v>502848.15</v>
      </c>
      <c r="BL122" s="399">
        <v>6488</v>
      </c>
      <c r="BM122" s="399"/>
      <c r="BN122" s="399"/>
      <c r="BO122" s="399"/>
      <c r="BP122" s="399"/>
      <c r="BQ122" s="399"/>
      <c r="BR122" s="399">
        <v>203885.87760000001</v>
      </c>
      <c r="BS122" s="399"/>
      <c r="BT122" s="399"/>
      <c r="BU122" s="399"/>
      <c r="BV122" s="399">
        <v>521921.05973271735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1495153.0882999999</v>
      </c>
      <c r="CJ122" s="399">
        <v>-417801.27142000012</v>
      </c>
      <c r="CK122" s="399"/>
      <c r="CL122" s="399"/>
      <c r="CM122" s="399"/>
      <c r="CN122" s="399"/>
      <c r="CO122" s="399">
        <v>-474804.97380000004</v>
      </c>
      <c r="CP122" s="399">
        <v>0</v>
      </c>
      <c r="CQ122" s="399">
        <v>30</v>
      </c>
      <c r="CR122" s="399">
        <v>-14605.497135820799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-1679.0979912884068</v>
      </c>
      <c r="DA122" s="399">
        <v>0</v>
      </c>
      <c r="DB122" s="399">
        <v>0</v>
      </c>
      <c r="DC122" s="399">
        <v>0</v>
      </c>
      <c r="DD122" s="399">
        <v>0</v>
      </c>
      <c r="DE122" s="399">
        <v>0</v>
      </c>
      <c r="DF122" s="399">
        <v>0</v>
      </c>
      <c r="DG122" s="399">
        <v>0</v>
      </c>
      <c r="DH122" s="399">
        <v>0</v>
      </c>
      <c r="DI122" s="399">
        <v>-11206.402825053694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-1536.6875082228071</v>
      </c>
      <c r="DP122" s="399">
        <v>-183.30881125589622</v>
      </c>
      <c r="DQ122" s="399">
        <v>0</v>
      </c>
      <c r="DR122" s="399">
        <v>0</v>
      </c>
      <c r="DS122" s="399"/>
      <c r="DT122" s="399"/>
      <c r="DU122" s="399"/>
      <c r="DV122" s="399">
        <v>1065158.8100715282</v>
      </c>
      <c r="DW122" s="399">
        <v>0</v>
      </c>
      <c r="DX122" s="399">
        <v>0</v>
      </c>
      <c r="DY122" s="399">
        <v>-474804.97380000004</v>
      </c>
      <c r="DZ122" s="399">
        <v>0</v>
      </c>
      <c r="EA122" s="399">
        <v>0</v>
      </c>
      <c r="EB122" s="399">
        <v>0</v>
      </c>
      <c r="EC122" s="399">
        <v>-460169.25311945076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218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2360</v>
      </c>
      <c r="C123" s="399" t="s">
        <v>2328</v>
      </c>
      <c r="D123" s="399" t="s">
        <v>2335</v>
      </c>
      <c r="E123" s="399" t="s">
        <v>894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2329</v>
      </c>
      <c r="K123" s="789">
        <v>44501</v>
      </c>
      <c r="L123" s="399">
        <v>0</v>
      </c>
      <c r="M123" s="399">
        <v>0</v>
      </c>
      <c r="N123" s="399">
        <v>9.4220000000000006</v>
      </c>
      <c r="O123" s="399">
        <v>9.4220000000000006</v>
      </c>
      <c r="P123" s="399">
        <v>9.4220000000000006</v>
      </c>
      <c r="Q123" s="399">
        <v>9.4220000000000006</v>
      </c>
      <c r="R123" s="399"/>
      <c r="S123" s="399">
        <v>521.86</v>
      </c>
      <c r="T123" s="399">
        <v>141.32</v>
      </c>
      <c r="U123" s="399"/>
      <c r="V123" s="399">
        <v>6248.4819600000001</v>
      </c>
      <c r="W123" s="399">
        <v>6248.4819600000001</v>
      </c>
      <c r="X123" s="399">
        <v>4883.7052599999997</v>
      </c>
      <c r="Y123" s="399">
        <v>0</v>
      </c>
      <c r="Z123" s="399">
        <v>571.69909437398223</v>
      </c>
      <c r="AA123" s="399">
        <v>0</v>
      </c>
      <c r="AB123" s="399">
        <v>0</v>
      </c>
      <c r="AC123" s="399">
        <v>0</v>
      </c>
      <c r="AD123" s="399">
        <v>1013.3719245474992</v>
      </c>
      <c r="AE123" s="399">
        <v>3061.6863891524531</v>
      </c>
      <c r="AF123" s="399">
        <v>1331.5069587613723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88.397131912016832</v>
      </c>
      <c r="AM123" s="399"/>
      <c r="AN123" s="399">
        <v>13.067057891708517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168.69994905961093</v>
      </c>
      <c r="BH123" s="399">
        <v>0</v>
      </c>
      <c r="BI123" s="399">
        <v>43</v>
      </c>
      <c r="BJ123" s="399">
        <v>198.46</v>
      </c>
      <c r="BK123" s="399">
        <v>2026.84</v>
      </c>
      <c r="BL123" s="399">
        <v>0</v>
      </c>
      <c r="BM123" s="399"/>
      <c r="BN123" s="399"/>
      <c r="BO123" s="399"/>
      <c r="BP123" s="399"/>
      <c r="BQ123" s="399"/>
      <c r="BR123" s="399">
        <v>586.04840000000013</v>
      </c>
      <c r="BS123" s="399"/>
      <c r="BT123" s="399"/>
      <c r="BU123" s="399"/>
      <c r="BV123" s="399">
        <v>1500.2069078209831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4296.7446</v>
      </c>
      <c r="CJ123" s="399">
        <v>-1201.8703800000003</v>
      </c>
      <c r="CK123" s="399"/>
      <c r="CL123" s="399"/>
      <c r="CM123" s="399"/>
      <c r="CN123" s="399"/>
      <c r="CO123" s="399">
        <v>-1364.7767000000003</v>
      </c>
      <c r="CP123" s="399">
        <v>0</v>
      </c>
      <c r="CQ123" s="399">
        <v>30</v>
      </c>
      <c r="CR123" s="399">
        <v>-41.981957398958002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-4.8263896588676971</v>
      </c>
      <c r="DA123" s="399">
        <v>0</v>
      </c>
      <c r="DB123" s="399">
        <v>0</v>
      </c>
      <c r="DC123" s="399">
        <v>0</v>
      </c>
      <c r="DD123" s="399">
        <v>0</v>
      </c>
      <c r="DE123" s="399">
        <v>0</v>
      </c>
      <c r="DF123" s="399">
        <v>0</v>
      </c>
      <c r="DG123" s="399">
        <v>0</v>
      </c>
      <c r="DH123" s="399">
        <v>0</v>
      </c>
      <c r="DI123" s="399">
        <v>-32.211620160680582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-4.417045781173627</v>
      </c>
      <c r="DP123" s="399">
        <v>-0.5269017982362687</v>
      </c>
      <c r="DQ123" s="399">
        <v>0</v>
      </c>
      <c r="DR123" s="399">
        <v>0</v>
      </c>
      <c r="DS123" s="399"/>
      <c r="DT123" s="399"/>
      <c r="DU123" s="399"/>
      <c r="DV123" s="399">
        <v>3061.6863891524531</v>
      </c>
      <c r="DW123" s="399">
        <v>0</v>
      </c>
      <c r="DX123" s="399">
        <v>0</v>
      </c>
      <c r="DY123" s="399">
        <v>-1364.7767000000003</v>
      </c>
      <c r="DZ123" s="399">
        <v>0</v>
      </c>
      <c r="EA123" s="399">
        <v>0</v>
      </c>
      <c r="EB123" s="399">
        <v>0</v>
      </c>
      <c r="EC123" s="399">
        <v>-1322.7078682170047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218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2361</v>
      </c>
      <c r="C124" s="399" t="s">
        <v>2328</v>
      </c>
      <c r="D124" s="399" t="s">
        <v>2335</v>
      </c>
      <c r="E124" s="399" t="s">
        <v>894</v>
      </c>
      <c r="F124" s="399" t="s">
        <v>1239</v>
      </c>
      <c r="G124" s="399" t="s">
        <v>1239</v>
      </c>
      <c r="H124" s="399" t="s">
        <v>1239</v>
      </c>
      <c r="I124" s="399" t="s">
        <v>1239</v>
      </c>
      <c r="J124" s="399" t="s">
        <v>2329</v>
      </c>
      <c r="K124" s="789">
        <v>44501</v>
      </c>
      <c r="L124" s="399">
        <v>0</v>
      </c>
      <c r="M124" s="399">
        <v>0</v>
      </c>
      <c r="N124" s="399">
        <v>182.71199999999999</v>
      </c>
      <c r="O124" s="399">
        <v>182.71199999999999</v>
      </c>
      <c r="P124" s="399">
        <v>182.71199999999999</v>
      </c>
      <c r="Q124" s="399">
        <v>182.71199999999999</v>
      </c>
      <c r="R124" s="399"/>
      <c r="S124" s="399">
        <v>521.86</v>
      </c>
      <c r="T124" s="399">
        <v>141.32</v>
      </c>
      <c r="U124" s="399"/>
      <c r="V124" s="399">
        <v>121170.94415999998</v>
      </c>
      <c r="W124" s="399">
        <v>121170.94415999998</v>
      </c>
      <c r="X124" s="399">
        <v>94705.110959999991</v>
      </c>
      <c r="Y124" s="399">
        <v>0</v>
      </c>
      <c r="Z124" s="399">
        <v>11086.423788076738</v>
      </c>
      <c r="AA124" s="399">
        <v>0</v>
      </c>
      <c r="AB124" s="399">
        <v>0</v>
      </c>
      <c r="AC124" s="399">
        <v>0</v>
      </c>
      <c r="AD124" s="399">
        <v>19651.370311815183</v>
      </c>
      <c r="AE124" s="399">
        <v>59372.4096301022</v>
      </c>
      <c r="AF124" s="399">
        <v>25820.664344004228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1714.2025860654232</v>
      </c>
      <c r="AM124" s="399"/>
      <c r="AN124" s="399">
        <v>253.39718547122121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3271.4397253852289</v>
      </c>
      <c r="BH124" s="399">
        <v>0</v>
      </c>
      <c r="BI124" s="399">
        <v>812.95</v>
      </c>
      <c r="BJ124" s="399">
        <v>3761.23</v>
      </c>
      <c r="BK124" s="399">
        <v>91253.52</v>
      </c>
      <c r="BL124" s="399">
        <v>464</v>
      </c>
      <c r="BM124" s="399"/>
      <c r="BN124" s="399"/>
      <c r="BO124" s="399"/>
      <c r="BP124" s="399"/>
      <c r="BQ124" s="399"/>
      <c r="BR124" s="399">
        <v>11364.686399999999</v>
      </c>
      <c r="BS124" s="399"/>
      <c r="BT124" s="399"/>
      <c r="BU124" s="399"/>
      <c r="BV124" s="399">
        <v>29092.104069389457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83339.512300000002</v>
      </c>
      <c r="CJ124" s="399">
        <v>-23289.413779999988</v>
      </c>
      <c r="CK124" s="399"/>
      <c r="CL124" s="399"/>
      <c r="CM124" s="399"/>
      <c r="CN124" s="399"/>
      <c r="CO124" s="399">
        <v>-26465.833200000001</v>
      </c>
      <c r="CP124" s="399">
        <v>0</v>
      </c>
      <c r="CQ124" s="399">
        <v>30</v>
      </c>
      <c r="CR124" s="399">
        <v>-814.11668438531342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-93.593643318938121</v>
      </c>
      <c r="DA124" s="399">
        <v>0</v>
      </c>
      <c r="DB124" s="399">
        <v>0</v>
      </c>
      <c r="DC124" s="399">
        <v>0</v>
      </c>
      <c r="DD124" s="399">
        <v>0</v>
      </c>
      <c r="DE124" s="399">
        <v>0</v>
      </c>
      <c r="DF124" s="399">
        <v>0</v>
      </c>
      <c r="DG124" s="399">
        <v>0</v>
      </c>
      <c r="DH124" s="399">
        <v>0</v>
      </c>
      <c r="DI124" s="399">
        <v>-624.64970736555551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-85.655621818063764</v>
      </c>
      <c r="DP124" s="399">
        <v>-10.217711882757925</v>
      </c>
      <c r="DQ124" s="399">
        <v>0</v>
      </c>
      <c r="DR124" s="399">
        <v>0</v>
      </c>
      <c r="DS124" s="399"/>
      <c r="DT124" s="399"/>
      <c r="DU124" s="399"/>
      <c r="DV124" s="399">
        <v>59372.4096301022</v>
      </c>
      <c r="DW124" s="399">
        <v>0</v>
      </c>
      <c r="DX124" s="399">
        <v>0</v>
      </c>
      <c r="DY124" s="399">
        <v>-26465.833199999994</v>
      </c>
      <c r="DZ124" s="399">
        <v>0</v>
      </c>
      <c r="EA124" s="399">
        <v>0</v>
      </c>
      <c r="EB124" s="399">
        <v>0</v>
      </c>
      <c r="EC124" s="399">
        <v>-25650.031842248492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218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956</v>
      </c>
      <c r="C125" s="399" t="s">
        <v>2334</v>
      </c>
      <c r="D125" s="399" t="s">
        <v>533</v>
      </c>
      <c r="E125" s="399" t="s">
        <v>894</v>
      </c>
      <c r="F125" s="399" t="s">
        <v>1239</v>
      </c>
      <c r="G125" s="399" t="s">
        <v>1239</v>
      </c>
      <c r="H125" s="399" t="s">
        <v>1239</v>
      </c>
      <c r="I125" s="399" t="s">
        <v>893</v>
      </c>
      <c r="J125" s="399" t="s">
        <v>2329</v>
      </c>
      <c r="K125" s="789">
        <v>44501</v>
      </c>
      <c r="L125" s="399">
        <v>0</v>
      </c>
      <c r="M125" s="399">
        <v>0</v>
      </c>
      <c r="N125" s="399">
        <v>2.1949999999999998</v>
      </c>
      <c r="O125" s="399">
        <v>2.1072000000000002</v>
      </c>
      <c r="P125" s="399">
        <v>2.1949999999999998</v>
      </c>
      <c r="Q125" s="399">
        <v>2.1072000000000002</v>
      </c>
      <c r="R125" s="399"/>
      <c r="S125" s="399">
        <v>2741.05</v>
      </c>
      <c r="T125" s="399">
        <v>141.32</v>
      </c>
      <c r="U125" s="399"/>
      <c r="V125" s="399">
        <v>6326.8021499999995</v>
      </c>
      <c r="W125" s="399">
        <v>6326.8021499999995</v>
      </c>
      <c r="X125" s="399">
        <v>4530.2165999999997</v>
      </c>
      <c r="Y125" s="399">
        <v>0</v>
      </c>
      <c r="Z125" s="399">
        <v>115.87191419775792</v>
      </c>
      <c r="AA125" s="399">
        <v>0</v>
      </c>
      <c r="AB125" s="399">
        <v>0</v>
      </c>
      <c r="AC125" s="399">
        <v>0</v>
      </c>
      <c r="AD125" s="399">
        <v>1741.8674466859904</v>
      </c>
      <c r="AE125" s="399">
        <v>4121.7901765784063</v>
      </c>
      <c r="AF125" s="399">
        <v>310.19505142020927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20.593473205994155</v>
      </c>
      <c r="AM125" s="399"/>
      <c r="AN125" s="399">
        <v>1.3186295952909508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15.173943742565482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/>
      <c r="BR125" s="399">
        <v>181.20866399999926</v>
      </c>
      <c r="BS125" s="399"/>
      <c r="BT125" s="399"/>
      <c r="BU125" s="399"/>
      <c r="BV125" s="399">
        <v>325.36899516277475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4354.7867999999999</v>
      </c>
      <c r="CJ125" s="399">
        <v>-1718.973264000002</v>
      </c>
      <c r="CK125" s="399"/>
      <c r="CL125" s="399"/>
      <c r="CM125" s="399"/>
      <c r="CN125" s="399"/>
      <c r="CO125" s="399">
        <v>-1796.5855500000005</v>
      </c>
      <c r="CP125" s="399">
        <v>0</v>
      </c>
      <c r="CQ125" s="399">
        <v>30</v>
      </c>
      <c r="CR125" s="399">
        <v>-15.906835290473737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-8.2959975781470803</v>
      </c>
      <c r="DA125" s="399">
        <v>0</v>
      </c>
      <c r="DB125" s="399">
        <v>0</v>
      </c>
      <c r="DC125" s="399">
        <v>0</v>
      </c>
      <c r="DD125" s="399">
        <v>0</v>
      </c>
      <c r="DE125" s="399">
        <v>0</v>
      </c>
      <c r="DF125" s="399">
        <v>0</v>
      </c>
      <c r="DG125" s="399">
        <v>0</v>
      </c>
      <c r="DH125" s="399">
        <v>0</v>
      </c>
      <c r="DI125" s="399">
        <v>-6.5286478921508575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-1.0290188377919876</v>
      </c>
      <c r="DP125" s="399">
        <v>-5.3170982383671017E-2</v>
      </c>
      <c r="DQ125" s="399">
        <v>0</v>
      </c>
      <c r="DR125" s="399">
        <v>0</v>
      </c>
      <c r="DS125" s="399"/>
      <c r="DT125" s="399"/>
      <c r="DU125" s="399"/>
      <c r="DV125" s="399">
        <v>4121.7901765784063</v>
      </c>
      <c r="DW125" s="399">
        <v>0</v>
      </c>
      <c r="DX125" s="399">
        <v>0</v>
      </c>
      <c r="DY125" s="399">
        <v>-1796.5855499999998</v>
      </c>
      <c r="DZ125" s="399">
        <v>0</v>
      </c>
      <c r="EA125" s="399">
        <v>0</v>
      </c>
      <c r="EB125" s="399">
        <v>0</v>
      </c>
      <c r="EC125" s="399">
        <v>-1780.6932535663977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218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2361</v>
      </c>
      <c r="C126" s="399" t="s">
        <v>2334</v>
      </c>
      <c r="D126" s="399" t="s">
        <v>533</v>
      </c>
      <c r="E126" s="399" t="s">
        <v>894</v>
      </c>
      <c r="F126" s="399" t="s">
        <v>1239</v>
      </c>
      <c r="G126" s="399" t="s">
        <v>1239</v>
      </c>
      <c r="H126" s="399" t="s">
        <v>1239</v>
      </c>
      <c r="I126" s="399" t="s">
        <v>893</v>
      </c>
      <c r="J126" s="399" t="s">
        <v>2329</v>
      </c>
      <c r="K126" s="789">
        <v>44501</v>
      </c>
      <c r="L126" s="399">
        <v>0</v>
      </c>
      <c r="M126" s="399">
        <v>0</v>
      </c>
      <c r="N126" s="399">
        <v>2.226</v>
      </c>
      <c r="O126" s="399">
        <v>2.1369600000000002</v>
      </c>
      <c r="P126" s="399">
        <v>2.226</v>
      </c>
      <c r="Q126" s="399">
        <v>2.1369600000000002</v>
      </c>
      <c r="R126" s="399"/>
      <c r="S126" s="399">
        <v>2741.05</v>
      </c>
      <c r="T126" s="399">
        <v>141.32</v>
      </c>
      <c r="U126" s="399"/>
      <c r="V126" s="399">
        <v>6416.1556199999995</v>
      </c>
      <c r="W126" s="399">
        <v>6416.1556199999995</v>
      </c>
      <c r="X126" s="399">
        <v>4594.1968799999995</v>
      </c>
      <c r="Y126" s="399">
        <v>0</v>
      </c>
      <c r="Z126" s="399">
        <v>117.50837403380827</v>
      </c>
      <c r="AA126" s="399">
        <v>0</v>
      </c>
      <c r="AB126" s="399">
        <v>0</v>
      </c>
      <c r="AC126" s="399">
        <v>0</v>
      </c>
      <c r="AD126" s="399">
        <v>1766.4678525389591</v>
      </c>
      <c r="AE126" s="399">
        <v>4180.0022474093548</v>
      </c>
      <c r="AF126" s="399">
        <v>314.57593825120085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20.884314968812298</v>
      </c>
      <c r="AM126" s="399"/>
      <c r="AN126" s="399">
        <v>1.3372526100763811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15.388245453736113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>
        <v>183.76787519999954</v>
      </c>
      <c r="BS126" s="399"/>
      <c r="BT126" s="399"/>
      <c r="BU126" s="399"/>
      <c r="BV126" s="399">
        <v>329.96418370493694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4416.7031999999999</v>
      </c>
      <c r="CJ126" s="399">
        <v>-1742.8361952000014</v>
      </c>
      <c r="CK126" s="399"/>
      <c r="CL126" s="399"/>
      <c r="CM126" s="399"/>
      <c r="CN126" s="399"/>
      <c r="CO126" s="399">
        <v>-1821.9587400000005</v>
      </c>
      <c r="CP126" s="399">
        <v>0</v>
      </c>
      <c r="CQ126" s="399">
        <v>30</v>
      </c>
      <c r="CR126" s="399">
        <v>-16.131487633984307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-8.4131620086357088</v>
      </c>
      <c r="DA126" s="399">
        <v>0</v>
      </c>
      <c r="DB126" s="399">
        <v>0</v>
      </c>
      <c r="DC126" s="399">
        <v>0</v>
      </c>
      <c r="DD126" s="399">
        <v>0</v>
      </c>
      <c r="DE126" s="399">
        <v>0</v>
      </c>
      <c r="DF126" s="399">
        <v>0</v>
      </c>
      <c r="DG126" s="399">
        <v>0</v>
      </c>
      <c r="DH126" s="399">
        <v>0</v>
      </c>
      <c r="DI126" s="399">
        <v>-6.6208520309466223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-1.0435516778701448</v>
      </c>
      <c r="DP126" s="399">
        <v>-5.3921916531230796E-2</v>
      </c>
      <c r="DQ126" s="399">
        <v>0</v>
      </c>
      <c r="DR126" s="399">
        <v>0</v>
      </c>
      <c r="DS126" s="399"/>
      <c r="DT126" s="399"/>
      <c r="DU126" s="399"/>
      <c r="DV126" s="399">
        <v>4180.0022474093548</v>
      </c>
      <c r="DW126" s="399">
        <v>0</v>
      </c>
      <c r="DX126" s="399">
        <v>0</v>
      </c>
      <c r="DY126" s="399">
        <v>-1821.95874</v>
      </c>
      <c r="DZ126" s="399">
        <v>0</v>
      </c>
      <c r="EA126" s="399">
        <v>0</v>
      </c>
      <c r="EB126" s="399">
        <v>0</v>
      </c>
      <c r="EC126" s="399">
        <v>-1805.841996555263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218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956</v>
      </c>
      <c r="C127" s="399" t="s">
        <v>2334</v>
      </c>
      <c r="D127" s="399" t="s">
        <v>533</v>
      </c>
      <c r="E127" s="399" t="s">
        <v>894</v>
      </c>
      <c r="F127" s="399" t="s">
        <v>1239</v>
      </c>
      <c r="G127" s="399" t="s">
        <v>1239</v>
      </c>
      <c r="H127" s="399" t="s">
        <v>1239</v>
      </c>
      <c r="I127" s="399" t="s">
        <v>2326</v>
      </c>
      <c r="J127" s="399" t="s">
        <v>2329</v>
      </c>
      <c r="K127" s="789">
        <v>44501</v>
      </c>
      <c r="L127" s="399">
        <v>0</v>
      </c>
      <c r="M127" s="399">
        <v>0</v>
      </c>
      <c r="N127" s="399">
        <v>24.327999999999999</v>
      </c>
      <c r="O127" s="399">
        <v>23.354880000000001</v>
      </c>
      <c r="P127" s="399">
        <v>24.327999999999999</v>
      </c>
      <c r="Q127" s="399">
        <v>23.354880000000001</v>
      </c>
      <c r="R127" s="399"/>
      <c r="S127" s="399">
        <v>69.680000000000007</v>
      </c>
      <c r="T127" s="399">
        <v>141.32</v>
      </c>
      <c r="U127" s="399"/>
      <c r="V127" s="399">
        <v>5133.2079999999996</v>
      </c>
      <c r="W127" s="399">
        <v>5133.2079999999996</v>
      </c>
      <c r="X127" s="399">
        <v>5049.0331199999991</v>
      </c>
      <c r="Y127" s="399">
        <v>0</v>
      </c>
      <c r="Z127" s="399">
        <v>1284.2514481107312</v>
      </c>
      <c r="AA127" s="399">
        <v>0</v>
      </c>
      <c r="AB127" s="399">
        <v>0</v>
      </c>
      <c r="AC127" s="399">
        <v>0</v>
      </c>
      <c r="AD127" s="399">
        <v>0</v>
      </c>
      <c r="AE127" s="399">
        <v>0</v>
      </c>
      <c r="AF127" s="399">
        <v>3438.0069298181556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228.24510986579764</v>
      </c>
      <c r="AM127" s="399"/>
      <c r="AN127" s="399">
        <v>14.614861409675742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168.17845255996951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/>
      <c r="BR127" s="399">
        <v>201.96132479999955</v>
      </c>
      <c r="BS127" s="399"/>
      <c r="BT127" s="399"/>
      <c r="BU127" s="399"/>
      <c r="BV127" s="399">
        <v>3606.1853823781253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4846.0590000000002</v>
      </c>
      <c r="CJ127" s="399">
        <v>-81.850680000000466</v>
      </c>
      <c r="CK127" s="399"/>
      <c r="CL127" s="399"/>
      <c r="CM127" s="399"/>
      <c r="CN127" s="399"/>
      <c r="CO127" s="399">
        <v>-84.174880000000186</v>
      </c>
      <c r="CP127" s="399">
        <v>0</v>
      </c>
      <c r="CQ127" s="399">
        <v>30</v>
      </c>
      <c r="CR127" s="399">
        <v>-84.353740257622121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0</v>
      </c>
      <c r="DA127" s="399">
        <v>0</v>
      </c>
      <c r="DB127" s="399">
        <v>0</v>
      </c>
      <c r="DC127" s="399">
        <v>0</v>
      </c>
      <c r="DD127" s="399">
        <v>0</v>
      </c>
      <c r="DE127" s="399">
        <v>0</v>
      </c>
      <c r="DF127" s="399">
        <v>0</v>
      </c>
      <c r="DG127" s="399">
        <v>0</v>
      </c>
      <c r="DH127" s="399">
        <v>0</v>
      </c>
      <c r="DI127" s="399">
        <v>-72.359428665260339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-11.404997852302273</v>
      </c>
      <c r="DP127" s="399">
        <v>-0.58931374005920389</v>
      </c>
      <c r="DQ127" s="399">
        <v>0</v>
      </c>
      <c r="DR127" s="399">
        <v>0</v>
      </c>
      <c r="DS127" s="399"/>
      <c r="DT127" s="399"/>
      <c r="DU127" s="399"/>
      <c r="DV127" s="399">
        <v>0</v>
      </c>
      <c r="DW127" s="399">
        <v>0</v>
      </c>
      <c r="DX127" s="399">
        <v>0</v>
      </c>
      <c r="DY127" s="399">
        <v>-84.174880000000257</v>
      </c>
      <c r="DZ127" s="399">
        <v>0</v>
      </c>
      <c r="EA127" s="399">
        <v>0</v>
      </c>
      <c r="EB127" s="399">
        <v>0</v>
      </c>
      <c r="EC127" s="399">
        <v>0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218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2361</v>
      </c>
      <c r="C128" s="399" t="s">
        <v>2334</v>
      </c>
      <c r="D128" s="399" t="s">
        <v>533</v>
      </c>
      <c r="E128" s="399" t="s">
        <v>894</v>
      </c>
      <c r="F128" s="399" t="s">
        <v>1239</v>
      </c>
      <c r="G128" s="399" t="s">
        <v>1239</v>
      </c>
      <c r="H128" s="399" t="s">
        <v>1239</v>
      </c>
      <c r="I128" s="399" t="s">
        <v>2326</v>
      </c>
      <c r="J128" s="399" t="s">
        <v>2329</v>
      </c>
      <c r="K128" s="789">
        <v>44501</v>
      </c>
      <c r="L128" s="399">
        <v>0</v>
      </c>
      <c r="M128" s="399">
        <v>0</v>
      </c>
      <c r="N128" s="399">
        <v>32.448</v>
      </c>
      <c r="O128" s="399">
        <v>31.150079999999999</v>
      </c>
      <c r="P128" s="399">
        <v>32.448</v>
      </c>
      <c r="Q128" s="399">
        <v>31.150079999999999</v>
      </c>
      <c r="R128" s="399"/>
      <c r="S128" s="399">
        <v>69.680000000000007</v>
      </c>
      <c r="T128" s="399">
        <v>141.32</v>
      </c>
      <c r="U128" s="399"/>
      <c r="V128" s="399">
        <v>6846.5280000000002</v>
      </c>
      <c r="W128" s="399">
        <v>6846.5280000000002</v>
      </c>
      <c r="X128" s="399">
        <v>6734.25792</v>
      </c>
      <c r="Y128" s="399">
        <v>0</v>
      </c>
      <c r="Z128" s="399">
        <v>1712.8983471019815</v>
      </c>
      <c r="AA128" s="399">
        <v>0</v>
      </c>
      <c r="AB128" s="399">
        <v>0</v>
      </c>
      <c r="AC128" s="399">
        <v>0</v>
      </c>
      <c r="AD128" s="399">
        <v>0</v>
      </c>
      <c r="AE128" s="399">
        <v>0</v>
      </c>
      <c r="AF128" s="399">
        <v>4585.516641677882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304.42688773945258</v>
      </c>
      <c r="AM128" s="399"/>
      <c r="AN128" s="399">
        <v>19.492889798633609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224.31167496982451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>
        <v>269.3703168000003</v>
      </c>
      <c r="BS128" s="399"/>
      <c r="BT128" s="399"/>
      <c r="BU128" s="399"/>
      <c r="BV128" s="399">
        <v>4809.8283166477067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6464.8709999999992</v>
      </c>
      <c r="CJ128" s="399">
        <v>-107.82588000000123</v>
      </c>
      <c r="CK128" s="399"/>
      <c r="CL128" s="399"/>
      <c r="CM128" s="399"/>
      <c r="CN128" s="399"/>
      <c r="CO128" s="399">
        <v>-112.27008000000026</v>
      </c>
      <c r="CP128" s="399">
        <v>0</v>
      </c>
      <c r="CQ128" s="399">
        <v>30</v>
      </c>
      <c r="CR128" s="399">
        <v>-112.50863876517997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0</v>
      </c>
      <c r="DA128" s="399">
        <v>0</v>
      </c>
      <c r="DB128" s="399">
        <v>0</v>
      </c>
      <c r="DC128" s="399">
        <v>0</v>
      </c>
      <c r="DD128" s="399">
        <v>0</v>
      </c>
      <c r="DE128" s="399">
        <v>0</v>
      </c>
      <c r="DF128" s="399">
        <v>0</v>
      </c>
      <c r="DG128" s="399">
        <v>0</v>
      </c>
      <c r="DH128" s="399">
        <v>0</v>
      </c>
      <c r="DI128" s="399">
        <v>-96.510964375631602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-15.211664350193359</v>
      </c>
      <c r="DP128" s="399">
        <v>-0.78601003935551716</v>
      </c>
      <c r="DQ128" s="399">
        <v>0</v>
      </c>
      <c r="DR128" s="399">
        <v>0</v>
      </c>
      <c r="DS128" s="399"/>
      <c r="DT128" s="399"/>
      <c r="DU128" s="399"/>
      <c r="DV128" s="399">
        <v>0</v>
      </c>
      <c r="DW128" s="399">
        <v>0</v>
      </c>
      <c r="DX128" s="399">
        <v>0</v>
      </c>
      <c r="DY128" s="399">
        <v>-112.27008000000023</v>
      </c>
      <c r="DZ128" s="399">
        <v>0</v>
      </c>
      <c r="EA128" s="399">
        <v>0</v>
      </c>
      <c r="EB128" s="399">
        <v>0</v>
      </c>
      <c r="EC128" s="399">
        <v>0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218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956</v>
      </c>
      <c r="C129" s="399" t="s">
        <v>2334</v>
      </c>
      <c r="D129" s="399" t="s">
        <v>533</v>
      </c>
      <c r="E129" s="399" t="s">
        <v>894</v>
      </c>
      <c r="F129" s="399" t="s">
        <v>1239</v>
      </c>
      <c r="G129" s="399" t="s">
        <v>1239</v>
      </c>
      <c r="H129" s="399" t="s">
        <v>1239</v>
      </c>
      <c r="I129" s="399" t="s">
        <v>1239</v>
      </c>
      <c r="J129" s="399" t="s">
        <v>2329</v>
      </c>
      <c r="K129" s="789">
        <v>44501</v>
      </c>
      <c r="L129" s="399">
        <v>90</v>
      </c>
      <c r="M129" s="399">
        <v>86.4</v>
      </c>
      <c r="N129" s="399">
        <v>0</v>
      </c>
      <c r="O129" s="399">
        <v>0</v>
      </c>
      <c r="P129" s="399">
        <v>0</v>
      </c>
      <c r="Q129" s="399">
        <v>0</v>
      </c>
      <c r="R129" s="399">
        <v>35.15</v>
      </c>
      <c r="S129" s="399"/>
      <c r="T129" s="399"/>
      <c r="U129" s="399">
        <v>3163.5</v>
      </c>
      <c r="V129" s="399"/>
      <c r="W129" s="399">
        <v>3163.5</v>
      </c>
      <c r="X129" s="399">
        <v>2309.4</v>
      </c>
      <c r="Y129" s="399">
        <v>0</v>
      </c>
      <c r="Z129" s="399">
        <v>0</v>
      </c>
      <c r="AA129" s="399">
        <v>0</v>
      </c>
      <c r="AB129" s="399">
        <v>0</v>
      </c>
      <c r="AC129" s="399">
        <v>0</v>
      </c>
      <c r="AD129" s="399">
        <v>1199.8235963272409</v>
      </c>
      <c r="AE129" s="399">
        <v>1963.6179499154971</v>
      </c>
      <c r="AF129" s="399"/>
      <c r="AG129" s="399"/>
      <c r="AH129" s="399"/>
      <c r="AI129" s="399">
        <v>0</v>
      </c>
      <c r="AJ129" s="399">
        <v>0</v>
      </c>
      <c r="AK129" s="399">
        <v>0</v>
      </c>
      <c r="AL129" s="399">
        <v>0</v>
      </c>
      <c r="AM129" s="399"/>
      <c r="AN129" s="399">
        <v>0</v>
      </c>
      <c r="AO129" s="399">
        <v>0</v>
      </c>
      <c r="AP129" s="399">
        <v>0</v>
      </c>
      <c r="AQ129" s="399">
        <v>0</v>
      </c>
      <c r="AR129" s="399">
        <v>0</v>
      </c>
      <c r="AS129" s="399"/>
      <c r="AT129" s="399"/>
      <c r="AU129" s="399">
        <v>0</v>
      </c>
      <c r="AV129" s="399">
        <v>0</v>
      </c>
      <c r="AW129" s="399">
        <v>0</v>
      </c>
      <c r="AX129" s="399"/>
      <c r="AY129" s="399"/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/>
      <c r="BG129" s="399">
        <v>0</v>
      </c>
      <c r="BH129" s="399">
        <v>0</v>
      </c>
      <c r="BI129" s="399">
        <v>105.61</v>
      </c>
      <c r="BJ129" s="399">
        <v>487.44</v>
      </c>
      <c r="BK129" s="399">
        <v>5344.74</v>
      </c>
      <c r="BL129" s="399">
        <v>1</v>
      </c>
      <c r="BM129" s="399"/>
      <c r="BN129" s="399"/>
      <c r="BO129" s="399"/>
      <c r="BP129" s="399"/>
      <c r="BQ129" s="399"/>
      <c r="BR129" s="399">
        <v>92.375999999999848</v>
      </c>
      <c r="BS129" s="399"/>
      <c r="BT129" s="399"/>
      <c r="BU129" s="399"/>
      <c r="BV129" s="399">
        <v>0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2217.0240000000003</v>
      </c>
      <c r="CJ129" s="399">
        <v>-819.96600000000035</v>
      </c>
      <c r="CK129" s="399"/>
      <c r="CL129" s="399"/>
      <c r="CM129" s="399"/>
      <c r="CN129" s="399"/>
      <c r="CO129" s="399">
        <v>-854.09999999999991</v>
      </c>
      <c r="CP129" s="399">
        <v>0</v>
      </c>
      <c r="CQ129" s="399">
        <v>30</v>
      </c>
      <c r="CR129" s="399">
        <v>-5.7144036236848024</v>
      </c>
      <c r="CS129" s="399">
        <v>0</v>
      </c>
      <c r="CT129" s="399">
        <v>0</v>
      </c>
      <c r="CU129" s="399">
        <v>0</v>
      </c>
      <c r="CV129" s="399">
        <v>0</v>
      </c>
      <c r="CW129" s="399"/>
      <c r="CX129" s="399"/>
      <c r="CY129" s="399"/>
      <c r="CZ129" s="399">
        <v>-5.7144036236848024</v>
      </c>
      <c r="DA129" s="399">
        <v>0</v>
      </c>
      <c r="DB129" s="399">
        <v>0</v>
      </c>
      <c r="DC129" s="399"/>
      <c r="DD129" s="399"/>
      <c r="DE129" s="399">
        <v>0</v>
      </c>
      <c r="DF129" s="399">
        <v>0</v>
      </c>
      <c r="DG129" s="399">
        <v>0</v>
      </c>
      <c r="DH129" s="399">
        <v>0</v>
      </c>
      <c r="DI129" s="399">
        <v>0</v>
      </c>
      <c r="DJ129" s="399"/>
      <c r="DK129" s="399">
        <v>0</v>
      </c>
      <c r="DL129" s="399">
        <v>0</v>
      </c>
      <c r="DM129" s="399"/>
      <c r="DN129" s="399">
        <v>0</v>
      </c>
      <c r="DO129" s="399">
        <v>0</v>
      </c>
      <c r="DP129" s="399">
        <v>0</v>
      </c>
      <c r="DQ129" s="399">
        <v>0</v>
      </c>
      <c r="DR129" s="399">
        <v>0</v>
      </c>
      <c r="DS129" s="399"/>
      <c r="DT129" s="399"/>
      <c r="DU129" s="399">
        <v>1963.6179499154971</v>
      </c>
      <c r="DV129" s="399"/>
      <c r="DW129" s="399">
        <v>0</v>
      </c>
      <c r="DX129" s="399">
        <v>0</v>
      </c>
      <c r="DY129" s="399">
        <v>-854.09999999999991</v>
      </c>
      <c r="DZ129" s="399"/>
      <c r="EA129" s="399">
        <v>0</v>
      </c>
      <c r="EB129" s="399"/>
      <c r="EC129" s="399">
        <v>-848.32101737381709</v>
      </c>
      <c r="ED129" s="399"/>
      <c r="EE129" s="399">
        <v>0</v>
      </c>
      <c r="EF129" s="399">
        <v>0</v>
      </c>
      <c r="EG129" s="399"/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/>
      <c r="EN129" s="399"/>
      <c r="EO129" s="399">
        <v>0</v>
      </c>
      <c r="EP129" s="399">
        <v>0</v>
      </c>
      <c r="EQ129" s="399"/>
      <c r="ER129" s="399">
        <v>0</v>
      </c>
      <c r="ES129" s="399"/>
      <c r="ET129" s="399">
        <v>0</v>
      </c>
      <c r="EU129" s="399"/>
      <c r="EV129" s="399">
        <v>218</v>
      </c>
      <c r="EW129" s="399"/>
      <c r="EX129" s="399"/>
      <c r="EY129" s="399"/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2361</v>
      </c>
      <c r="C130" s="399" t="s">
        <v>2334</v>
      </c>
      <c r="D130" s="399" t="s">
        <v>533</v>
      </c>
      <c r="E130" s="399" t="s">
        <v>894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2329</v>
      </c>
      <c r="K130" s="789">
        <v>44501</v>
      </c>
      <c r="L130" s="399">
        <v>259</v>
      </c>
      <c r="M130" s="399">
        <v>248.64</v>
      </c>
      <c r="N130" s="399">
        <v>0</v>
      </c>
      <c r="O130" s="399">
        <v>0</v>
      </c>
      <c r="P130" s="399">
        <v>0</v>
      </c>
      <c r="Q130" s="399">
        <v>0</v>
      </c>
      <c r="R130" s="399">
        <v>35.15</v>
      </c>
      <c r="S130" s="399"/>
      <c r="T130" s="399"/>
      <c r="U130" s="399">
        <v>9103.85</v>
      </c>
      <c r="V130" s="399"/>
      <c r="W130" s="399">
        <v>9103.85</v>
      </c>
      <c r="X130" s="399">
        <v>6645.94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3452.8256827639489</v>
      </c>
      <c r="AE130" s="399">
        <v>5650.856100312375</v>
      </c>
      <c r="AF130" s="399"/>
      <c r="AG130" s="399"/>
      <c r="AH130" s="399"/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0</v>
      </c>
      <c r="AO130" s="399">
        <v>0</v>
      </c>
      <c r="AP130" s="399">
        <v>0</v>
      </c>
      <c r="AQ130" s="399">
        <v>0</v>
      </c>
      <c r="AR130" s="399">
        <v>0</v>
      </c>
      <c r="AS130" s="399"/>
      <c r="AT130" s="399"/>
      <c r="AU130" s="399">
        <v>0</v>
      </c>
      <c r="AV130" s="399">
        <v>0</v>
      </c>
      <c r="AW130" s="399">
        <v>0</v>
      </c>
      <c r="AX130" s="399"/>
      <c r="AY130" s="399"/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/>
      <c r="BG130" s="399">
        <v>0</v>
      </c>
      <c r="BH130" s="399">
        <v>0</v>
      </c>
      <c r="BI130" s="399">
        <v>168.27</v>
      </c>
      <c r="BJ130" s="399">
        <v>776.72</v>
      </c>
      <c r="BK130" s="399">
        <v>9091.81</v>
      </c>
      <c r="BL130" s="399">
        <v>2</v>
      </c>
      <c r="BM130" s="399"/>
      <c r="BN130" s="399"/>
      <c r="BO130" s="399"/>
      <c r="BP130" s="399"/>
      <c r="BQ130" s="399"/>
      <c r="BR130" s="399">
        <v>265.83760000000035</v>
      </c>
      <c r="BS130" s="399"/>
      <c r="BT130" s="399"/>
      <c r="BU130" s="399"/>
      <c r="BV130" s="399">
        <v>0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6380.1023999999998</v>
      </c>
      <c r="CJ130" s="399">
        <v>-2359.6236000000008</v>
      </c>
      <c r="CK130" s="399"/>
      <c r="CL130" s="399"/>
      <c r="CM130" s="399"/>
      <c r="CN130" s="399"/>
      <c r="CO130" s="399">
        <v>-2457.9099999999994</v>
      </c>
      <c r="CP130" s="399">
        <v>0</v>
      </c>
      <c r="CQ130" s="399">
        <v>30</v>
      </c>
      <c r="CR130" s="399">
        <v>-16.444783761492999</v>
      </c>
      <c r="CS130" s="399">
        <v>0</v>
      </c>
      <c r="CT130" s="399">
        <v>0</v>
      </c>
      <c r="CU130" s="399">
        <v>0</v>
      </c>
      <c r="CV130" s="399">
        <v>0</v>
      </c>
      <c r="CW130" s="399"/>
      <c r="CX130" s="399"/>
      <c r="CY130" s="399"/>
      <c r="CZ130" s="399">
        <v>-16.444783761492999</v>
      </c>
      <c r="DA130" s="399">
        <v>0</v>
      </c>
      <c r="DB130" s="399">
        <v>0</v>
      </c>
      <c r="DC130" s="399"/>
      <c r="DD130" s="399"/>
      <c r="DE130" s="399">
        <v>0</v>
      </c>
      <c r="DF130" s="399">
        <v>0</v>
      </c>
      <c r="DG130" s="399">
        <v>0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/>
      <c r="DN130" s="399">
        <v>0</v>
      </c>
      <c r="DO130" s="399">
        <v>0</v>
      </c>
      <c r="DP130" s="399">
        <v>0</v>
      </c>
      <c r="DQ130" s="399">
        <v>0</v>
      </c>
      <c r="DR130" s="399">
        <v>0</v>
      </c>
      <c r="DS130" s="399"/>
      <c r="DT130" s="399"/>
      <c r="DU130" s="399">
        <v>5650.856100312375</v>
      </c>
      <c r="DV130" s="399"/>
      <c r="DW130" s="399">
        <v>0</v>
      </c>
      <c r="DX130" s="399">
        <v>0</v>
      </c>
      <c r="DY130" s="399">
        <v>-2457.9100000000008</v>
      </c>
      <c r="DZ130" s="399"/>
      <c r="EA130" s="399">
        <v>0</v>
      </c>
      <c r="EB130" s="399"/>
      <c r="EC130" s="399">
        <v>-2441.2793722202073</v>
      </c>
      <c r="ED130" s="399"/>
      <c r="EE130" s="399">
        <v>0</v>
      </c>
      <c r="EF130" s="399">
        <v>0</v>
      </c>
      <c r="EG130" s="399"/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/>
      <c r="EN130" s="399"/>
      <c r="EO130" s="399">
        <v>0</v>
      </c>
      <c r="EP130" s="399">
        <v>0</v>
      </c>
      <c r="EQ130" s="399"/>
      <c r="ER130" s="399">
        <v>0</v>
      </c>
      <c r="ES130" s="399"/>
      <c r="ET130" s="399">
        <v>0</v>
      </c>
      <c r="EU130" s="399"/>
      <c r="EV130" s="399">
        <v>218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956</v>
      </c>
      <c r="C131" s="399" t="s">
        <v>2328</v>
      </c>
      <c r="D131" s="399" t="s">
        <v>1826</v>
      </c>
      <c r="E131" s="399" t="s">
        <v>2336</v>
      </c>
      <c r="F131" s="399" t="s">
        <v>1239</v>
      </c>
      <c r="G131" s="399" t="s">
        <v>1239</v>
      </c>
      <c r="H131" s="399" t="s">
        <v>1239</v>
      </c>
      <c r="I131" s="399" t="s">
        <v>1239</v>
      </c>
      <c r="J131" s="399" t="s">
        <v>2329</v>
      </c>
      <c r="K131" s="789">
        <v>44501</v>
      </c>
      <c r="L131" s="399">
        <v>0</v>
      </c>
      <c r="M131" s="399">
        <v>0</v>
      </c>
      <c r="N131" s="399">
        <v>112.221</v>
      </c>
      <c r="O131" s="399">
        <v>112.221</v>
      </c>
      <c r="P131" s="399">
        <v>112.221</v>
      </c>
      <c r="Q131" s="399">
        <v>112.221</v>
      </c>
      <c r="R131" s="399"/>
      <c r="S131" s="399">
        <v>521.86</v>
      </c>
      <c r="T131" s="399">
        <v>141.32</v>
      </c>
      <c r="U131" s="399"/>
      <c r="V131" s="399">
        <v>74422.722780000011</v>
      </c>
      <c r="W131" s="399">
        <v>74422.722780000011</v>
      </c>
      <c r="X131" s="399">
        <v>58167.510929999997</v>
      </c>
      <c r="Y131" s="399">
        <v>0</v>
      </c>
      <c r="Z131" s="399">
        <v>6809.2383856657461</v>
      </c>
      <c r="AA131" s="399">
        <v>0</v>
      </c>
      <c r="AB131" s="399">
        <v>0</v>
      </c>
      <c r="AC131" s="399">
        <v>0</v>
      </c>
      <c r="AD131" s="399">
        <v>12069.795239295787</v>
      </c>
      <c r="AE131" s="399">
        <v>36466.303149764106</v>
      </c>
      <c r="AF131" s="399">
        <v>15858.951647119504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1052.8565633940184</v>
      </c>
      <c r="AM131" s="399"/>
      <c r="AN131" s="399">
        <v>155.63556608633215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2009.3055596920608</v>
      </c>
      <c r="BH131" s="399">
        <v>0</v>
      </c>
      <c r="BI131" s="399">
        <v>499.15</v>
      </c>
      <c r="BJ131" s="399">
        <v>2307.13</v>
      </c>
      <c r="BK131" s="399">
        <v>20600.25</v>
      </c>
      <c r="BL131" s="399">
        <v>163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17868.257206811566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58166.992599999998</v>
      </c>
      <c r="CJ131" s="399">
        <v>-16255.760179999997</v>
      </c>
      <c r="CK131" s="399"/>
      <c r="CL131" s="399"/>
      <c r="CM131" s="399"/>
      <c r="CN131" s="399"/>
      <c r="CO131" s="399">
        <v>-16255.211850000003</v>
      </c>
      <c r="CP131" s="399">
        <v>0</v>
      </c>
      <c r="CQ131" s="399">
        <v>30</v>
      </c>
      <c r="CR131" s="399">
        <v>-500.02730219364457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-57.484851826340673</v>
      </c>
      <c r="DA131" s="399">
        <v>0</v>
      </c>
      <c r="DB131" s="399">
        <v>0</v>
      </c>
      <c r="DC131" s="399">
        <v>0</v>
      </c>
      <c r="DD131" s="399">
        <v>0</v>
      </c>
      <c r="DE131" s="399">
        <v>0</v>
      </c>
      <c r="DF131" s="399">
        <v>0</v>
      </c>
      <c r="DG131" s="399">
        <v>0</v>
      </c>
      <c r="DH131" s="399">
        <v>0</v>
      </c>
      <c r="DI131" s="399">
        <v>-383.65742157203658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-52.609349884216385</v>
      </c>
      <c r="DP131" s="399">
        <v>-6.2756789110456737</v>
      </c>
      <c r="DQ131" s="399">
        <v>0</v>
      </c>
      <c r="DR131" s="399">
        <v>0</v>
      </c>
      <c r="DS131" s="399"/>
      <c r="DT131" s="399"/>
      <c r="DU131" s="399"/>
      <c r="DV131" s="399">
        <v>36466.303149764106</v>
      </c>
      <c r="DW131" s="399">
        <v>0</v>
      </c>
      <c r="DX131" s="399">
        <v>0</v>
      </c>
      <c r="DY131" s="399">
        <v>-16255.211850000007</v>
      </c>
      <c r="DZ131" s="399">
        <v>0</v>
      </c>
      <c r="EA131" s="399">
        <v>0</v>
      </c>
      <c r="EB131" s="399">
        <v>0</v>
      </c>
      <c r="EC131" s="399">
        <v>-15754.149827975001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218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956</v>
      </c>
      <c r="C132" s="399" t="s">
        <v>2328</v>
      </c>
      <c r="D132" s="399" t="s">
        <v>2337</v>
      </c>
      <c r="E132" s="399" t="s">
        <v>2338</v>
      </c>
      <c r="F132" s="399" t="s">
        <v>2339</v>
      </c>
      <c r="G132" s="399" t="s">
        <v>1239</v>
      </c>
      <c r="H132" s="399" t="s">
        <v>1239</v>
      </c>
      <c r="I132" s="399" t="s">
        <v>1239</v>
      </c>
      <c r="J132" s="399" t="s">
        <v>2329</v>
      </c>
      <c r="K132" s="789">
        <v>44501</v>
      </c>
      <c r="L132" s="399">
        <v>0</v>
      </c>
      <c r="M132" s="399">
        <v>0</v>
      </c>
      <c r="N132" s="399">
        <v>76.010999999999996</v>
      </c>
      <c r="O132" s="399">
        <v>76.010999999999996</v>
      </c>
      <c r="P132" s="399">
        <v>76.010999999999996</v>
      </c>
      <c r="Q132" s="399">
        <v>76.010999999999996</v>
      </c>
      <c r="R132" s="399"/>
      <c r="S132" s="399">
        <v>287.02</v>
      </c>
      <c r="T132" s="399">
        <v>77.73</v>
      </c>
      <c r="U132" s="399"/>
      <c r="V132" s="399">
        <v>27725.01225</v>
      </c>
      <c r="W132" s="399">
        <v>27725.01225</v>
      </c>
      <c r="X132" s="399">
        <v>21669.975989999999</v>
      </c>
      <c r="Y132" s="399">
        <v>0</v>
      </c>
      <c r="Z132" s="399">
        <v>2536.6674723363813</v>
      </c>
      <c r="AA132" s="399">
        <v>0</v>
      </c>
      <c r="AB132" s="399">
        <v>0</v>
      </c>
      <c r="AC132" s="399">
        <v>0</v>
      </c>
      <c r="AD132" s="399">
        <v>4496.3996334354824</v>
      </c>
      <c r="AE132" s="399">
        <v>13584.909177374964</v>
      </c>
      <c r="AF132" s="399">
        <v>5907.9862548637157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392.22404124075297</v>
      </c>
      <c r="AM132" s="399"/>
      <c r="AN132" s="399">
        <v>57.979417912721566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748.53306149262733</v>
      </c>
      <c r="BH132" s="399">
        <v>0</v>
      </c>
      <c r="BI132" s="399">
        <v>218.97</v>
      </c>
      <c r="BJ132" s="399">
        <v>1010.8</v>
      </c>
      <c r="BK132" s="399">
        <v>11231.04</v>
      </c>
      <c r="BL132" s="399">
        <v>7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6656.5193163563426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21669.690900000001</v>
      </c>
      <c r="CJ132" s="399">
        <v>-6055.3513499999935</v>
      </c>
      <c r="CK132" s="399"/>
      <c r="CL132" s="399"/>
      <c r="CM132" s="399"/>
      <c r="CN132" s="399"/>
      <c r="CO132" s="399">
        <v>-6055.0362599999971</v>
      </c>
      <c r="CP132" s="399">
        <v>0</v>
      </c>
      <c r="CQ132" s="399">
        <v>30</v>
      </c>
      <c r="CR132" s="399">
        <v>-186.27677882815078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-21.415016705396738</v>
      </c>
      <c r="DA132" s="399">
        <v>0</v>
      </c>
      <c r="DB132" s="399">
        <v>0</v>
      </c>
      <c r="DC132" s="399">
        <v>0</v>
      </c>
      <c r="DD132" s="399">
        <v>0</v>
      </c>
      <c r="DE132" s="399">
        <v>0</v>
      </c>
      <c r="DF132" s="399">
        <v>0</v>
      </c>
      <c r="DG132" s="399">
        <v>0</v>
      </c>
      <c r="DH132" s="399">
        <v>0</v>
      </c>
      <c r="DI132" s="399">
        <v>-142.9251329885783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-19.598730288690206</v>
      </c>
      <c r="DP132" s="399">
        <v>-2.3378988454848439</v>
      </c>
      <c r="DQ132" s="399">
        <v>0</v>
      </c>
      <c r="DR132" s="399">
        <v>0</v>
      </c>
      <c r="DS132" s="399"/>
      <c r="DT132" s="399"/>
      <c r="DU132" s="399"/>
      <c r="DV132" s="399">
        <v>13584.909177374964</v>
      </c>
      <c r="DW132" s="399">
        <v>0</v>
      </c>
      <c r="DX132" s="399">
        <v>0</v>
      </c>
      <c r="DY132" s="399">
        <v>-6055.0362599999971</v>
      </c>
      <c r="DZ132" s="399">
        <v>0</v>
      </c>
      <c r="EA132" s="399">
        <v>0</v>
      </c>
      <c r="EB132" s="399">
        <v>0</v>
      </c>
      <c r="EC132" s="399">
        <v>-5868.9440961657547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218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2328</v>
      </c>
      <c r="D133" s="399" t="s">
        <v>1826</v>
      </c>
      <c r="E133" s="399" t="s">
        <v>921</v>
      </c>
      <c r="F133" s="399" t="s">
        <v>2362</v>
      </c>
      <c r="G133" s="399" t="s">
        <v>1239</v>
      </c>
      <c r="H133" s="399" t="s">
        <v>1239</v>
      </c>
      <c r="I133" s="399" t="s">
        <v>1239</v>
      </c>
      <c r="J133" s="399" t="s">
        <v>2329</v>
      </c>
      <c r="K133" s="789">
        <v>44501</v>
      </c>
      <c r="L133" s="399">
        <v>0</v>
      </c>
      <c r="M133" s="399">
        <v>0</v>
      </c>
      <c r="N133" s="399">
        <v>43.723999999999997</v>
      </c>
      <c r="O133" s="399">
        <v>41.100560000000002</v>
      </c>
      <c r="P133" s="399">
        <v>43.723999999999997</v>
      </c>
      <c r="Q133" s="399">
        <v>41.100560000000002</v>
      </c>
      <c r="R133" s="399"/>
      <c r="S133" s="399">
        <v>521.86</v>
      </c>
      <c r="T133" s="399">
        <v>141.32</v>
      </c>
      <c r="U133" s="399"/>
      <c r="V133" s="399">
        <v>28996.882319999997</v>
      </c>
      <c r="W133" s="399">
        <v>28996.882319999997</v>
      </c>
      <c r="X133" s="399">
        <v>22663.460919999998</v>
      </c>
      <c r="Y133" s="399">
        <v>0</v>
      </c>
      <c r="Z133" s="399">
        <v>2653.0430059868386</v>
      </c>
      <c r="AA133" s="399">
        <v>0</v>
      </c>
      <c r="AB133" s="399">
        <v>0</v>
      </c>
      <c r="AC133" s="399">
        <v>0</v>
      </c>
      <c r="AD133" s="399">
        <v>4702.6824484095578</v>
      </c>
      <c r="AE133" s="399">
        <v>14208.14855437294</v>
      </c>
      <c r="AF133" s="399">
        <v>6179.0288967185561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410.21823346646397</v>
      </c>
      <c r="AM133" s="399"/>
      <c r="AN133" s="399">
        <v>60.639358868293684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782.87376063281965</v>
      </c>
      <c r="BH133" s="399">
        <v>0</v>
      </c>
      <c r="BI133" s="399">
        <v>192.47</v>
      </c>
      <c r="BJ133" s="399">
        <v>888.82</v>
      </c>
      <c r="BK133" s="399">
        <v>9875.61</v>
      </c>
      <c r="BL133" s="399">
        <v>19</v>
      </c>
      <c r="BM133" s="399"/>
      <c r="BN133" s="399"/>
      <c r="BO133" s="399"/>
      <c r="BP133" s="399"/>
      <c r="BQ133" s="399">
        <v>1359.8076551999975</v>
      </c>
      <c r="BR133" s="399"/>
      <c r="BS133" s="399"/>
      <c r="BT133" s="399"/>
      <c r="BU133" s="399"/>
      <c r="BV133" s="399">
        <v>6961.9026573513756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21303.363000000001</v>
      </c>
      <c r="CJ133" s="399">
        <v>-5953.7363807999936</v>
      </c>
      <c r="CK133" s="399"/>
      <c r="CL133" s="399"/>
      <c r="CM133" s="399"/>
      <c r="CN133" s="399"/>
      <c r="CO133" s="399">
        <v>-6333.4214000000002</v>
      </c>
      <c r="CP133" s="399">
        <v>0</v>
      </c>
      <c r="CQ133" s="399">
        <v>30</v>
      </c>
      <c r="CR133" s="399">
        <v>-194.82266029632956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-22.397480518396151</v>
      </c>
      <c r="DA133" s="399">
        <v>0</v>
      </c>
      <c r="DB133" s="399">
        <v>0</v>
      </c>
      <c r="DC133" s="399">
        <v>0</v>
      </c>
      <c r="DD133" s="399">
        <v>0</v>
      </c>
      <c r="DE133" s="399">
        <v>0</v>
      </c>
      <c r="DF133" s="399">
        <v>0</v>
      </c>
      <c r="DG133" s="399">
        <v>0</v>
      </c>
      <c r="DH133" s="399">
        <v>0</v>
      </c>
      <c r="DI133" s="399">
        <v>-149.48215664461804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-20.497867728299298</v>
      </c>
      <c r="DP133" s="399">
        <v>-2.4451554050183191</v>
      </c>
      <c r="DQ133" s="399">
        <v>0</v>
      </c>
      <c r="DR133" s="399">
        <v>0</v>
      </c>
      <c r="DS133" s="399"/>
      <c r="DT133" s="399"/>
      <c r="DU133" s="399"/>
      <c r="DV133" s="399">
        <v>14208.14855437294</v>
      </c>
      <c r="DW133" s="399">
        <v>0</v>
      </c>
      <c r="DX133" s="399">
        <v>0</v>
      </c>
      <c r="DY133" s="399">
        <v>-6333.4213999999993</v>
      </c>
      <c r="DZ133" s="399">
        <v>0</v>
      </c>
      <c r="EA133" s="399">
        <v>0</v>
      </c>
      <c r="EB133" s="399">
        <v>0</v>
      </c>
      <c r="EC133" s="399">
        <v>-6138.1955879771067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218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2398</v>
      </c>
      <c r="D134" s="399" t="s">
        <v>533</v>
      </c>
      <c r="E134" s="399" t="s">
        <v>921</v>
      </c>
      <c r="F134" s="399" t="s">
        <v>2362</v>
      </c>
      <c r="G134" s="399" t="s">
        <v>1239</v>
      </c>
      <c r="H134" s="399" t="s">
        <v>1239</v>
      </c>
      <c r="I134" s="399" t="s">
        <v>893</v>
      </c>
      <c r="J134" s="399" t="s">
        <v>2329</v>
      </c>
      <c r="K134" s="789">
        <v>44501</v>
      </c>
      <c r="L134" s="399">
        <v>485</v>
      </c>
      <c r="M134" s="399">
        <v>455.9</v>
      </c>
      <c r="N134" s="399">
        <v>18.599</v>
      </c>
      <c r="O134" s="399">
        <v>17.483059999999998</v>
      </c>
      <c r="P134" s="399">
        <v>18.599</v>
      </c>
      <c r="Q134" s="399">
        <v>17.483059999999998</v>
      </c>
      <c r="R134" s="399">
        <v>111.06</v>
      </c>
      <c r="S134" s="399">
        <v>69.680000000000007</v>
      </c>
      <c r="T134" s="399">
        <v>141.32</v>
      </c>
      <c r="U134" s="399">
        <v>53864.1</v>
      </c>
      <c r="V134" s="399">
        <v>3924.3890000000001</v>
      </c>
      <c r="W134" s="399">
        <v>57788.489000000001</v>
      </c>
      <c r="X134" s="399">
        <v>41287.486460000007</v>
      </c>
      <c r="Y134" s="399">
        <v>0</v>
      </c>
      <c r="Z134" s="399">
        <v>981.82311260323456</v>
      </c>
      <c r="AA134" s="399">
        <v>0</v>
      </c>
      <c r="AB134" s="399">
        <v>0</v>
      </c>
      <c r="AC134" s="399">
        <v>0</v>
      </c>
      <c r="AD134" s="399">
        <v>15996.833565630635</v>
      </c>
      <c r="AE134" s="399">
        <v>37868.438917061707</v>
      </c>
      <c r="AF134" s="399">
        <v>2628.3907796649078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174.49567569853545</v>
      </c>
      <c r="AM134" s="399"/>
      <c r="AN134" s="399">
        <v>11.173208128845738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128.57411374395235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>
        <v>2477.2491876000022</v>
      </c>
      <c r="BR134" s="399"/>
      <c r="BS134" s="399"/>
      <c r="BT134" s="399"/>
      <c r="BU134" s="399"/>
      <c r="BV134" s="399">
        <v>2756.96489340886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38809.602200000001</v>
      </c>
      <c r="CJ134" s="399">
        <v>-15511.607460000007</v>
      </c>
      <c r="CK134" s="399"/>
      <c r="CL134" s="399"/>
      <c r="CM134" s="399"/>
      <c r="CN134" s="399"/>
      <c r="CO134" s="399">
        <v>-16501.002540000001</v>
      </c>
      <c r="CP134" s="399">
        <v>0</v>
      </c>
      <c r="CQ134" s="399">
        <v>30</v>
      </c>
      <c r="CR134" s="399">
        <v>-140.677450100844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-76.188169639995976</v>
      </c>
      <c r="DA134" s="399">
        <v>0</v>
      </c>
      <c r="DB134" s="399">
        <v>0</v>
      </c>
      <c r="DC134" s="399">
        <v>0</v>
      </c>
      <c r="DD134" s="399">
        <v>0</v>
      </c>
      <c r="DE134" s="399">
        <v>0</v>
      </c>
      <c r="DF134" s="399">
        <v>0</v>
      </c>
      <c r="DG134" s="399">
        <v>0</v>
      </c>
      <c r="DH134" s="399">
        <v>0</v>
      </c>
      <c r="DI134" s="399">
        <v>-55.319508950393697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-8.7192352456005437</v>
      </c>
      <c r="DP134" s="399">
        <v>-0.4505362648537119</v>
      </c>
      <c r="DQ134" s="399">
        <v>0</v>
      </c>
      <c r="DR134" s="399">
        <v>0</v>
      </c>
      <c r="DS134" s="399"/>
      <c r="DT134" s="399"/>
      <c r="DU134" s="399">
        <v>37868.438917061707</v>
      </c>
      <c r="DV134" s="399">
        <v>0</v>
      </c>
      <c r="DW134" s="399">
        <v>0</v>
      </c>
      <c r="DX134" s="399">
        <v>0</v>
      </c>
      <c r="DY134" s="399">
        <v>-16501.002539999994</v>
      </c>
      <c r="DZ134" s="399">
        <v>0</v>
      </c>
      <c r="EA134" s="399">
        <v>0</v>
      </c>
      <c r="EB134" s="399">
        <v>0</v>
      </c>
      <c r="EC134" s="399">
        <v>-16359.899658618597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218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2398</v>
      </c>
      <c r="D135" s="399" t="s">
        <v>533</v>
      </c>
      <c r="E135" s="399" t="s">
        <v>921</v>
      </c>
      <c r="F135" s="399" t="s">
        <v>2362</v>
      </c>
      <c r="G135" s="399" t="s">
        <v>1239</v>
      </c>
      <c r="H135" s="399" t="s">
        <v>1239</v>
      </c>
      <c r="I135" s="399" t="s">
        <v>2326</v>
      </c>
      <c r="J135" s="399" t="s">
        <v>2329</v>
      </c>
      <c r="K135" s="789">
        <v>44501</v>
      </c>
      <c r="L135" s="399">
        <v>485</v>
      </c>
      <c r="M135" s="399">
        <v>455.9</v>
      </c>
      <c r="N135" s="399">
        <v>199.46799999999999</v>
      </c>
      <c r="O135" s="399">
        <v>187.49992</v>
      </c>
      <c r="P135" s="399">
        <v>199.46799999999999</v>
      </c>
      <c r="Q135" s="399">
        <v>187.49992</v>
      </c>
      <c r="R135" s="399">
        <v>35.15</v>
      </c>
      <c r="S135" s="399">
        <v>69.680000000000007</v>
      </c>
      <c r="T135" s="399">
        <v>141.32</v>
      </c>
      <c r="U135" s="399">
        <v>17047.75</v>
      </c>
      <c r="V135" s="399">
        <v>42087.748</v>
      </c>
      <c r="W135" s="399">
        <v>59135.498</v>
      </c>
      <c r="X135" s="399">
        <v>53842.688719999998</v>
      </c>
      <c r="Y135" s="399">
        <v>0</v>
      </c>
      <c r="Z135" s="399">
        <v>10529.721631525457</v>
      </c>
      <c r="AA135" s="399">
        <v>0</v>
      </c>
      <c r="AB135" s="399">
        <v>0</v>
      </c>
      <c r="AC135" s="399">
        <v>0</v>
      </c>
      <c r="AD135" s="399">
        <v>6465.716046874576</v>
      </c>
      <c r="AE135" s="399">
        <v>10581.718952322401</v>
      </c>
      <c r="AF135" s="399">
        <v>28188.604335620184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1871.4072498648029</v>
      </c>
      <c r="AM135" s="399"/>
      <c r="AN135" s="399">
        <v>119.82888752323251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1378.9139910897729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>
        <v>3230.5613231999973</v>
      </c>
      <c r="BR135" s="399"/>
      <c r="BS135" s="399"/>
      <c r="BT135" s="399"/>
      <c r="BU135" s="399"/>
      <c r="BV135" s="399">
        <v>29567.518326709956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50612.144</v>
      </c>
      <c r="CJ135" s="399">
        <v>-4975.2541199999978</v>
      </c>
      <c r="CK135" s="399"/>
      <c r="CL135" s="399"/>
      <c r="CM135" s="399"/>
      <c r="CN135" s="399"/>
      <c r="CO135" s="399">
        <v>-5292.8092800000013</v>
      </c>
      <c r="CP135" s="399">
        <v>0</v>
      </c>
      <c r="CQ135" s="399">
        <v>30</v>
      </c>
      <c r="CR135" s="399">
        <v>-722.42006150288944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-30.794286194302003</v>
      </c>
      <c r="DA135" s="399">
        <v>0</v>
      </c>
      <c r="DB135" s="399">
        <v>0</v>
      </c>
      <c r="DC135" s="399">
        <v>0</v>
      </c>
      <c r="DD135" s="399">
        <v>0</v>
      </c>
      <c r="DE135" s="399">
        <v>0</v>
      </c>
      <c r="DF135" s="399">
        <v>0</v>
      </c>
      <c r="DG135" s="399">
        <v>0</v>
      </c>
      <c r="DH135" s="399">
        <v>0</v>
      </c>
      <c r="DI135" s="399">
        <v>-593.28306959068323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-93.510856280953476</v>
      </c>
      <c r="DP135" s="399">
        <v>-4.8318494369503782</v>
      </c>
      <c r="DQ135" s="399">
        <v>0</v>
      </c>
      <c r="DR135" s="399">
        <v>0</v>
      </c>
      <c r="DS135" s="399"/>
      <c r="DT135" s="399"/>
      <c r="DU135" s="399">
        <v>10581.718952322401</v>
      </c>
      <c r="DV135" s="399">
        <v>0</v>
      </c>
      <c r="DW135" s="399">
        <v>0</v>
      </c>
      <c r="DX135" s="399">
        <v>0</v>
      </c>
      <c r="DY135" s="399">
        <v>-5292.8092800000013</v>
      </c>
      <c r="DZ135" s="399">
        <v>0</v>
      </c>
      <c r="EA135" s="399">
        <v>0</v>
      </c>
      <c r="EB135" s="399">
        <v>0</v>
      </c>
      <c r="EC135" s="399">
        <v>-4571.5077047366813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218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956</v>
      </c>
      <c r="C136" s="399" t="s">
        <v>2398</v>
      </c>
      <c r="D136" s="399" t="s">
        <v>533</v>
      </c>
      <c r="E136" s="399" t="s">
        <v>921</v>
      </c>
      <c r="F136" s="399" t="s">
        <v>2362</v>
      </c>
      <c r="G136" s="399" t="s">
        <v>1239</v>
      </c>
      <c r="H136" s="399" t="s">
        <v>1239</v>
      </c>
      <c r="I136" s="399" t="s">
        <v>1239</v>
      </c>
      <c r="J136" s="399" t="s">
        <v>2329</v>
      </c>
      <c r="K136" s="789">
        <v>44501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/>
      <c r="S136" s="399"/>
      <c r="T136" s="399"/>
      <c r="U136" s="399"/>
      <c r="V136" s="399"/>
      <c r="W136" s="399"/>
      <c r="X136" s="399"/>
      <c r="Y136" s="399"/>
      <c r="Z136" s="399"/>
      <c r="AA136" s="399">
        <v>0</v>
      </c>
      <c r="AB136" s="399"/>
      <c r="AC136" s="399"/>
      <c r="AD136" s="399"/>
      <c r="AE136" s="399"/>
      <c r="AF136" s="399"/>
      <c r="AG136" s="399"/>
      <c r="AH136" s="399"/>
      <c r="AI136" s="399"/>
      <c r="AJ136" s="399"/>
      <c r="AK136" s="399"/>
      <c r="AL136" s="399"/>
      <c r="AM136" s="399"/>
      <c r="AN136" s="399"/>
      <c r="AO136" s="399"/>
      <c r="AP136" s="399"/>
      <c r="AQ136" s="399"/>
      <c r="AR136" s="399"/>
      <c r="AS136" s="399"/>
      <c r="AT136" s="399"/>
      <c r="AU136" s="399"/>
      <c r="AV136" s="399"/>
      <c r="AW136" s="399"/>
      <c r="AX136" s="399"/>
      <c r="AY136" s="399"/>
      <c r="AZ136" s="399">
        <v>0</v>
      </c>
      <c r="BA136" s="399"/>
      <c r="BB136" s="399"/>
      <c r="BC136" s="399"/>
      <c r="BD136" s="399"/>
      <c r="BE136" s="399"/>
      <c r="BF136" s="399"/>
      <c r="BG136" s="399"/>
      <c r="BH136" s="399"/>
      <c r="BI136" s="399">
        <v>850.66</v>
      </c>
      <c r="BJ136" s="399">
        <v>3926.18</v>
      </c>
      <c r="BK136" s="399">
        <v>39390.58</v>
      </c>
      <c r="BL136" s="399">
        <v>2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/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/>
      <c r="CJ136" s="399">
        <v>-0.03</v>
      </c>
      <c r="CK136" s="399"/>
      <c r="CL136" s="399"/>
      <c r="CM136" s="399"/>
      <c r="CN136" s="399"/>
      <c r="CO136" s="399">
        <v>0</v>
      </c>
      <c r="CP136" s="399">
        <v>0</v>
      </c>
      <c r="CQ136" s="399">
        <v>30</v>
      </c>
      <c r="CR136" s="399"/>
      <c r="CS136" s="399"/>
      <c r="CT136" s="399"/>
      <c r="CU136" s="399"/>
      <c r="CV136" s="399"/>
      <c r="CW136" s="399"/>
      <c r="CX136" s="399"/>
      <c r="CY136" s="399"/>
      <c r="CZ136" s="399"/>
      <c r="DA136" s="399"/>
      <c r="DB136" s="399"/>
      <c r="DC136" s="399"/>
      <c r="DD136" s="399"/>
      <c r="DE136" s="399"/>
      <c r="DF136" s="399"/>
      <c r="DG136" s="399"/>
      <c r="DH136" s="399"/>
      <c r="DI136" s="399"/>
      <c r="DJ136" s="399"/>
      <c r="DK136" s="399">
        <v>0</v>
      </c>
      <c r="DL136" s="399"/>
      <c r="DM136" s="399"/>
      <c r="DN136" s="399"/>
      <c r="DO136" s="399"/>
      <c r="DP136" s="399"/>
      <c r="DQ136" s="399"/>
      <c r="DR136" s="399"/>
      <c r="DS136" s="399"/>
      <c r="DT136" s="399"/>
      <c r="DU136" s="399"/>
      <c r="DV136" s="399"/>
      <c r="DW136" s="399"/>
      <c r="DX136" s="399"/>
      <c r="DY136" s="399"/>
      <c r="DZ136" s="399"/>
      <c r="EA136" s="399"/>
      <c r="EB136" s="399"/>
      <c r="EC136" s="399"/>
      <c r="ED136" s="399"/>
      <c r="EE136" s="399"/>
      <c r="EF136" s="399"/>
      <c r="EG136" s="399"/>
      <c r="EH136" s="399"/>
      <c r="EI136" s="399"/>
      <c r="EJ136" s="399"/>
      <c r="EK136" s="399"/>
      <c r="EL136" s="399"/>
      <c r="EM136" s="399"/>
      <c r="EN136" s="399"/>
      <c r="EO136" s="399"/>
      <c r="EP136" s="399"/>
      <c r="EQ136" s="399"/>
      <c r="ER136" s="399"/>
      <c r="ES136" s="399"/>
      <c r="ET136" s="399"/>
      <c r="EU136" s="399"/>
      <c r="EV136" s="399">
        <v>218</v>
      </c>
      <c r="EW136" s="399"/>
      <c r="EX136" s="399"/>
      <c r="EY136" s="399"/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2334</v>
      </c>
      <c r="D137" s="399" t="s">
        <v>533</v>
      </c>
      <c r="E137" s="399" t="s">
        <v>921</v>
      </c>
      <c r="F137" s="399" t="s">
        <v>2362</v>
      </c>
      <c r="G137" s="399" t="s">
        <v>1239</v>
      </c>
      <c r="H137" s="399" t="s">
        <v>1239</v>
      </c>
      <c r="I137" s="399" t="s">
        <v>893</v>
      </c>
      <c r="J137" s="399" t="s">
        <v>2329</v>
      </c>
      <c r="K137" s="789">
        <v>44501</v>
      </c>
      <c r="L137" s="399">
        <v>0</v>
      </c>
      <c r="M137" s="399">
        <v>0</v>
      </c>
      <c r="N137" s="399">
        <v>4.4770000000000003</v>
      </c>
      <c r="O137" s="399">
        <v>4.20838</v>
      </c>
      <c r="P137" s="399">
        <v>4.4770000000000003</v>
      </c>
      <c r="Q137" s="399">
        <v>4.20838</v>
      </c>
      <c r="R137" s="399"/>
      <c r="S137" s="399">
        <v>2741.05</v>
      </c>
      <c r="T137" s="399">
        <v>141.32</v>
      </c>
      <c r="U137" s="399"/>
      <c r="V137" s="399">
        <v>12904.370490000003</v>
      </c>
      <c r="W137" s="399">
        <v>12904.370490000003</v>
      </c>
      <c r="X137" s="399">
        <v>9239.9907600000006</v>
      </c>
      <c r="Y137" s="399">
        <v>0</v>
      </c>
      <c r="Z137" s="399">
        <v>236.33647374185071</v>
      </c>
      <c r="AA137" s="399">
        <v>0</v>
      </c>
      <c r="AB137" s="399">
        <v>0</v>
      </c>
      <c r="AC137" s="399">
        <v>0</v>
      </c>
      <c r="AD137" s="399">
        <v>3552.7747420561186</v>
      </c>
      <c r="AE137" s="399">
        <v>8406.9497132307642</v>
      </c>
      <c r="AF137" s="399">
        <v>632.68484975320143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42.003179746348906</v>
      </c>
      <c r="AM137" s="399"/>
      <c r="AN137" s="399">
        <v>2.6895237804635932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30.949314868093701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>
        <v>554.3994456000006</v>
      </c>
      <c r="BR137" s="399"/>
      <c r="BS137" s="399"/>
      <c r="BT137" s="399"/>
      <c r="BU137" s="399"/>
      <c r="BV137" s="399">
        <v>663.6341646212951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8688.9347999999991</v>
      </c>
      <c r="CJ137" s="399">
        <v>-3441.2034606000016</v>
      </c>
      <c r="CK137" s="399"/>
      <c r="CL137" s="399"/>
      <c r="CM137" s="399"/>
      <c r="CN137" s="399"/>
      <c r="CO137" s="399">
        <v>-3664.3797300000015</v>
      </c>
      <c r="CP137" s="399">
        <v>0</v>
      </c>
      <c r="CQ137" s="399">
        <v>30</v>
      </c>
      <c r="CR137" s="399">
        <v>-32.444146512734733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-16.920811461213816</v>
      </c>
      <c r="DA137" s="399">
        <v>0</v>
      </c>
      <c r="DB137" s="399">
        <v>0</v>
      </c>
      <c r="DC137" s="399">
        <v>0</v>
      </c>
      <c r="DD137" s="399">
        <v>0</v>
      </c>
      <c r="DE137" s="399">
        <v>0</v>
      </c>
      <c r="DF137" s="399">
        <v>0</v>
      </c>
      <c r="DG137" s="399">
        <v>0</v>
      </c>
      <c r="DH137" s="399">
        <v>0</v>
      </c>
      <c r="DI137" s="399">
        <v>-13.316062238341431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-2.0988233880613834</v>
      </c>
      <c r="DP137" s="399">
        <v>-0.10844942511694544</v>
      </c>
      <c r="DQ137" s="399">
        <v>0</v>
      </c>
      <c r="DR137" s="399">
        <v>0</v>
      </c>
      <c r="DS137" s="399"/>
      <c r="DT137" s="399"/>
      <c r="DU137" s="399"/>
      <c r="DV137" s="399">
        <v>8406.9497132307642</v>
      </c>
      <c r="DW137" s="399">
        <v>0</v>
      </c>
      <c r="DX137" s="399">
        <v>0</v>
      </c>
      <c r="DY137" s="399">
        <v>-3664.3797300000024</v>
      </c>
      <c r="DZ137" s="399">
        <v>0</v>
      </c>
      <c r="EA137" s="399">
        <v>0</v>
      </c>
      <c r="EB137" s="399">
        <v>0</v>
      </c>
      <c r="EC137" s="399">
        <v>-3631.9652374563848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218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956</v>
      </c>
      <c r="C138" s="399" t="s">
        <v>2334</v>
      </c>
      <c r="D138" s="399" t="s">
        <v>533</v>
      </c>
      <c r="E138" s="399" t="s">
        <v>921</v>
      </c>
      <c r="F138" s="399" t="s">
        <v>2362</v>
      </c>
      <c r="G138" s="399" t="s">
        <v>1239</v>
      </c>
      <c r="H138" s="399" t="s">
        <v>1239</v>
      </c>
      <c r="I138" s="399" t="s">
        <v>2326</v>
      </c>
      <c r="J138" s="399" t="s">
        <v>2329</v>
      </c>
      <c r="K138" s="789">
        <v>44501</v>
      </c>
      <c r="L138" s="399">
        <v>0</v>
      </c>
      <c r="M138" s="399">
        <v>0</v>
      </c>
      <c r="N138" s="399">
        <v>42.347999999999999</v>
      </c>
      <c r="O138" s="399">
        <v>39.807119999999998</v>
      </c>
      <c r="P138" s="399">
        <v>42.347999999999999</v>
      </c>
      <c r="Q138" s="399">
        <v>39.807119999999998</v>
      </c>
      <c r="R138" s="399"/>
      <c r="S138" s="399">
        <v>69.680000000000007</v>
      </c>
      <c r="T138" s="399">
        <v>141.32</v>
      </c>
      <c r="U138" s="399"/>
      <c r="V138" s="399">
        <v>8935.4279999999999</v>
      </c>
      <c r="W138" s="399">
        <v>8935.4279999999999</v>
      </c>
      <c r="X138" s="399">
        <v>8788.9039200000007</v>
      </c>
      <c r="Y138" s="399">
        <v>0</v>
      </c>
      <c r="Z138" s="399">
        <v>2235.5097140987027</v>
      </c>
      <c r="AA138" s="399">
        <v>0</v>
      </c>
      <c r="AB138" s="399">
        <v>0</v>
      </c>
      <c r="AC138" s="399">
        <v>0</v>
      </c>
      <c r="AD138" s="399">
        <v>0</v>
      </c>
      <c r="AE138" s="399">
        <v>0</v>
      </c>
      <c r="AF138" s="399">
        <v>5984.5740489945438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397.30861199427812</v>
      </c>
      <c r="AM138" s="399"/>
      <c r="AN138" s="399">
        <v>25.440239681722634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292.74996337592853</v>
      </c>
      <c r="BH138" s="399">
        <v>0</v>
      </c>
      <c r="BI138" s="399">
        <v>0</v>
      </c>
      <c r="BJ138" s="399">
        <v>0</v>
      </c>
      <c r="BK138" s="399">
        <v>0</v>
      </c>
      <c r="BL138" s="399">
        <v>0</v>
      </c>
      <c r="BM138" s="399"/>
      <c r="BN138" s="399"/>
      <c r="BO138" s="399"/>
      <c r="BP138" s="399"/>
      <c r="BQ138" s="399">
        <v>527.33423520000031</v>
      </c>
      <c r="BR138" s="399"/>
      <c r="BS138" s="399"/>
      <c r="BT138" s="399"/>
      <c r="BU138" s="399"/>
      <c r="BV138" s="399">
        <v>6277.3240123704727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8262.1674000000003</v>
      </c>
      <c r="CJ138" s="399">
        <v>-137.16491999999926</v>
      </c>
      <c r="CK138" s="399"/>
      <c r="CL138" s="399"/>
      <c r="CM138" s="399"/>
      <c r="CN138" s="399"/>
      <c r="CO138" s="399">
        <v>-146.52408000000034</v>
      </c>
      <c r="CP138" s="399">
        <v>0</v>
      </c>
      <c r="CQ138" s="399">
        <v>30</v>
      </c>
      <c r="CR138" s="399">
        <v>-146.83542389139075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0</v>
      </c>
      <c r="DD138" s="399">
        <v>0</v>
      </c>
      <c r="DE138" s="399">
        <v>0</v>
      </c>
      <c r="DF138" s="399">
        <v>0</v>
      </c>
      <c r="DG138" s="399">
        <v>0</v>
      </c>
      <c r="DH138" s="399">
        <v>0</v>
      </c>
      <c r="DI138" s="399">
        <v>-125.95680224911393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-19.852797149346316</v>
      </c>
      <c r="DP138" s="399">
        <v>-1.0258244929310685</v>
      </c>
      <c r="DQ138" s="399">
        <v>0</v>
      </c>
      <c r="DR138" s="399">
        <v>0</v>
      </c>
      <c r="DS138" s="399"/>
      <c r="DT138" s="399"/>
      <c r="DU138" s="399"/>
      <c r="DV138" s="399">
        <v>0</v>
      </c>
      <c r="DW138" s="399">
        <v>0</v>
      </c>
      <c r="DX138" s="399">
        <v>0</v>
      </c>
      <c r="DY138" s="399">
        <v>-146.52408000000014</v>
      </c>
      <c r="DZ138" s="399">
        <v>0</v>
      </c>
      <c r="EA138" s="399">
        <v>0</v>
      </c>
      <c r="EB138" s="399">
        <v>0</v>
      </c>
      <c r="EC138" s="399">
        <v>0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218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956</v>
      </c>
      <c r="C139" s="399" t="s">
        <v>2334</v>
      </c>
      <c r="D139" s="399" t="s">
        <v>533</v>
      </c>
      <c r="E139" s="399" t="s">
        <v>921</v>
      </c>
      <c r="F139" s="399" t="s">
        <v>2362</v>
      </c>
      <c r="G139" s="399" t="s">
        <v>1239</v>
      </c>
      <c r="H139" s="399" t="s">
        <v>1239</v>
      </c>
      <c r="I139" s="399" t="s">
        <v>1239</v>
      </c>
      <c r="J139" s="399" t="s">
        <v>2329</v>
      </c>
      <c r="K139" s="789">
        <v>44501</v>
      </c>
      <c r="L139" s="399">
        <v>89</v>
      </c>
      <c r="M139" s="399">
        <v>83.66</v>
      </c>
      <c r="N139" s="399">
        <v>0</v>
      </c>
      <c r="O139" s="399">
        <v>0</v>
      </c>
      <c r="P139" s="399">
        <v>0</v>
      </c>
      <c r="Q139" s="399">
        <v>0</v>
      </c>
      <c r="R139" s="399">
        <v>35.15</v>
      </c>
      <c r="S139" s="399"/>
      <c r="T139" s="399"/>
      <c r="U139" s="399">
        <v>3128.35</v>
      </c>
      <c r="V139" s="399"/>
      <c r="W139" s="399">
        <v>3128.35</v>
      </c>
      <c r="X139" s="399">
        <v>2283.7400000000002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1186.4922230347161</v>
      </c>
      <c r="AE139" s="399">
        <v>1941.7999726942137</v>
      </c>
      <c r="AF139" s="399"/>
      <c r="AG139" s="399"/>
      <c r="AH139" s="399"/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0</v>
      </c>
      <c r="AO139" s="399">
        <v>0</v>
      </c>
      <c r="AP139" s="399">
        <v>0</v>
      </c>
      <c r="AQ139" s="399">
        <v>0</v>
      </c>
      <c r="AR139" s="399">
        <v>0</v>
      </c>
      <c r="AS139" s="399"/>
      <c r="AT139" s="399"/>
      <c r="AU139" s="399">
        <v>0</v>
      </c>
      <c r="AV139" s="399">
        <v>0</v>
      </c>
      <c r="AW139" s="399">
        <v>0</v>
      </c>
      <c r="AX139" s="399"/>
      <c r="AY139" s="399"/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/>
      <c r="BG139" s="399">
        <v>0</v>
      </c>
      <c r="BH139" s="399">
        <v>0</v>
      </c>
      <c r="BI139" s="399">
        <v>186.73</v>
      </c>
      <c r="BJ139" s="399">
        <v>861.87</v>
      </c>
      <c r="BK139" s="399">
        <v>9576.2800000000007</v>
      </c>
      <c r="BL139" s="399">
        <v>1</v>
      </c>
      <c r="BM139" s="399"/>
      <c r="BN139" s="399"/>
      <c r="BO139" s="399"/>
      <c r="BP139" s="399"/>
      <c r="BQ139" s="399">
        <v>137.0244000000001</v>
      </c>
      <c r="BR139" s="399"/>
      <c r="BS139" s="399"/>
      <c r="BT139" s="399"/>
      <c r="BU139" s="399"/>
      <c r="BV139" s="399">
        <v>0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2146.7156</v>
      </c>
      <c r="CJ139" s="399">
        <v>-793.96340000000055</v>
      </c>
      <c r="CK139" s="399"/>
      <c r="CL139" s="399"/>
      <c r="CM139" s="399"/>
      <c r="CN139" s="399"/>
      <c r="CO139" s="399">
        <v>-844.6099999999999</v>
      </c>
      <c r="CP139" s="399">
        <v>0</v>
      </c>
      <c r="CQ139" s="399">
        <v>30</v>
      </c>
      <c r="CR139" s="399">
        <v>-5.6509102500883728</v>
      </c>
      <c r="CS139" s="399">
        <v>0</v>
      </c>
      <c r="CT139" s="399">
        <v>0</v>
      </c>
      <c r="CU139" s="399">
        <v>0</v>
      </c>
      <c r="CV139" s="399">
        <v>0</v>
      </c>
      <c r="CW139" s="399"/>
      <c r="CX139" s="399"/>
      <c r="CY139" s="399"/>
      <c r="CZ139" s="399">
        <v>-5.6509102500883728</v>
      </c>
      <c r="DA139" s="399">
        <v>0</v>
      </c>
      <c r="DB139" s="399">
        <v>0</v>
      </c>
      <c r="DC139" s="399"/>
      <c r="DD139" s="399"/>
      <c r="DE139" s="399">
        <v>0</v>
      </c>
      <c r="DF139" s="399">
        <v>0</v>
      </c>
      <c r="DG139" s="399">
        <v>0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/>
      <c r="DN139" s="399">
        <v>0</v>
      </c>
      <c r="DO139" s="399">
        <v>0</v>
      </c>
      <c r="DP139" s="399">
        <v>0</v>
      </c>
      <c r="DQ139" s="399">
        <v>0</v>
      </c>
      <c r="DR139" s="399">
        <v>0</v>
      </c>
      <c r="DS139" s="399"/>
      <c r="DT139" s="399"/>
      <c r="DU139" s="399">
        <v>1941.7999726942137</v>
      </c>
      <c r="DV139" s="399"/>
      <c r="DW139" s="399">
        <v>0</v>
      </c>
      <c r="DX139" s="399">
        <v>0</v>
      </c>
      <c r="DY139" s="399">
        <v>-844.60999999999967</v>
      </c>
      <c r="DZ139" s="399"/>
      <c r="EA139" s="399">
        <v>0</v>
      </c>
      <c r="EB139" s="399"/>
      <c r="EC139" s="399">
        <v>-838.89522829188581</v>
      </c>
      <c r="ED139" s="399"/>
      <c r="EE139" s="399">
        <v>0</v>
      </c>
      <c r="EF139" s="399">
        <v>0</v>
      </c>
      <c r="EG139" s="399"/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/>
      <c r="EN139" s="399"/>
      <c r="EO139" s="399">
        <v>0</v>
      </c>
      <c r="EP139" s="399">
        <v>0</v>
      </c>
      <c r="EQ139" s="399"/>
      <c r="ER139" s="399">
        <v>0</v>
      </c>
      <c r="ES139" s="399"/>
      <c r="ET139" s="399">
        <v>0</v>
      </c>
      <c r="EU139" s="399"/>
      <c r="EV139" s="399">
        <v>218</v>
      </c>
      <c r="EW139" s="399"/>
      <c r="EX139" s="399"/>
      <c r="EY139" s="399"/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2328</v>
      </c>
      <c r="D140" s="399" t="s">
        <v>2335</v>
      </c>
      <c r="E140" s="399" t="s">
        <v>894</v>
      </c>
      <c r="F140" s="399" t="s">
        <v>2363</v>
      </c>
      <c r="G140" s="399" t="s">
        <v>2340</v>
      </c>
      <c r="H140" s="399" t="s">
        <v>1239</v>
      </c>
      <c r="I140" s="399" t="s">
        <v>1239</v>
      </c>
      <c r="J140" s="399" t="s">
        <v>2329</v>
      </c>
      <c r="K140" s="789">
        <v>44501</v>
      </c>
      <c r="L140" s="399">
        <v>0</v>
      </c>
      <c r="M140" s="399">
        <v>0</v>
      </c>
      <c r="N140" s="399">
        <v>0</v>
      </c>
      <c r="O140" s="399">
        <v>0</v>
      </c>
      <c r="P140" s="399">
        <v>0</v>
      </c>
      <c r="Q140" s="399">
        <v>0</v>
      </c>
      <c r="R140" s="399"/>
      <c r="S140" s="399"/>
      <c r="T140" s="399"/>
      <c r="U140" s="399"/>
      <c r="V140" s="399"/>
      <c r="W140" s="399"/>
      <c r="X140" s="399"/>
      <c r="Y140" s="399"/>
      <c r="Z140" s="399"/>
      <c r="AA140" s="399">
        <v>0</v>
      </c>
      <c r="AB140" s="399"/>
      <c r="AC140" s="399"/>
      <c r="AD140" s="399"/>
      <c r="AE140" s="399"/>
      <c r="AF140" s="399"/>
      <c r="AG140" s="399"/>
      <c r="AH140" s="399"/>
      <c r="AI140" s="399"/>
      <c r="AJ140" s="399"/>
      <c r="AK140" s="399"/>
      <c r="AL140" s="399"/>
      <c r="AM140" s="399"/>
      <c r="AN140" s="399"/>
      <c r="AO140" s="399"/>
      <c r="AP140" s="399"/>
      <c r="AQ140" s="399"/>
      <c r="AR140" s="399"/>
      <c r="AS140" s="399"/>
      <c r="AT140" s="399"/>
      <c r="AU140" s="399"/>
      <c r="AV140" s="399"/>
      <c r="AW140" s="399"/>
      <c r="AX140" s="399"/>
      <c r="AY140" s="399"/>
      <c r="AZ140" s="399">
        <v>0</v>
      </c>
      <c r="BA140" s="399"/>
      <c r="BB140" s="399"/>
      <c r="BC140" s="399"/>
      <c r="BD140" s="399"/>
      <c r="BE140" s="399"/>
      <c r="BF140" s="399"/>
      <c r="BG140" s="399"/>
      <c r="BH140" s="399"/>
      <c r="BI140" s="399">
        <v>26.48</v>
      </c>
      <c r="BJ140" s="399">
        <v>122.82</v>
      </c>
      <c r="BK140" s="399">
        <v>731.06</v>
      </c>
      <c r="BL140" s="399">
        <v>22</v>
      </c>
      <c r="BM140" s="399"/>
      <c r="BN140" s="399"/>
      <c r="BO140" s="399"/>
      <c r="BP140" s="399"/>
      <c r="BQ140" s="399"/>
      <c r="BR140" s="399"/>
      <c r="BS140" s="399"/>
      <c r="BT140" s="399"/>
      <c r="BU140" s="399"/>
      <c r="BV140" s="399"/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/>
      <c r="CJ140" s="399">
        <v>-0.03</v>
      </c>
      <c r="CK140" s="399"/>
      <c r="CL140" s="399"/>
      <c r="CM140" s="399"/>
      <c r="CN140" s="399"/>
      <c r="CO140" s="399">
        <v>0</v>
      </c>
      <c r="CP140" s="399">
        <v>0</v>
      </c>
      <c r="CQ140" s="399">
        <v>30</v>
      </c>
      <c r="CR140" s="399"/>
      <c r="CS140" s="399"/>
      <c r="CT140" s="399"/>
      <c r="CU140" s="399"/>
      <c r="CV140" s="399"/>
      <c r="CW140" s="399"/>
      <c r="CX140" s="399"/>
      <c r="CY140" s="399"/>
      <c r="CZ140" s="399"/>
      <c r="DA140" s="399"/>
      <c r="DB140" s="399"/>
      <c r="DC140" s="399"/>
      <c r="DD140" s="399"/>
      <c r="DE140" s="399"/>
      <c r="DF140" s="399"/>
      <c r="DG140" s="399"/>
      <c r="DH140" s="399"/>
      <c r="DI140" s="399"/>
      <c r="DJ140" s="399"/>
      <c r="DK140" s="399">
        <v>0</v>
      </c>
      <c r="DL140" s="399"/>
      <c r="DM140" s="399"/>
      <c r="DN140" s="399"/>
      <c r="DO140" s="399"/>
      <c r="DP140" s="399"/>
      <c r="DQ140" s="399"/>
      <c r="DR140" s="399"/>
      <c r="DS140" s="399"/>
      <c r="DT140" s="399"/>
      <c r="DU140" s="399"/>
      <c r="DV140" s="399"/>
      <c r="DW140" s="399"/>
      <c r="DX140" s="399"/>
      <c r="DY140" s="399"/>
      <c r="DZ140" s="399"/>
      <c r="EA140" s="399"/>
      <c r="EB140" s="399"/>
      <c r="EC140" s="399"/>
      <c r="ED140" s="399"/>
      <c r="EE140" s="399"/>
      <c r="EF140" s="399"/>
      <c r="EG140" s="399"/>
      <c r="EH140" s="399"/>
      <c r="EI140" s="399"/>
      <c r="EJ140" s="399"/>
      <c r="EK140" s="399"/>
      <c r="EL140" s="399"/>
      <c r="EM140" s="399"/>
      <c r="EN140" s="399"/>
      <c r="EO140" s="399"/>
      <c r="EP140" s="399"/>
      <c r="EQ140" s="399"/>
      <c r="ER140" s="399"/>
      <c r="ES140" s="399"/>
      <c r="ET140" s="399"/>
      <c r="EU140" s="399"/>
      <c r="EV140" s="399">
        <v>218</v>
      </c>
      <c r="EW140" s="399"/>
      <c r="EX140" s="399"/>
      <c r="EY140" s="399"/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2361</v>
      </c>
      <c r="C141" s="399" t="s">
        <v>2328</v>
      </c>
      <c r="D141" s="399" t="s">
        <v>2335</v>
      </c>
      <c r="E141" s="399" t="s">
        <v>894</v>
      </c>
      <c r="F141" s="399" t="s">
        <v>2363</v>
      </c>
      <c r="G141" s="399" t="s">
        <v>2340</v>
      </c>
      <c r="H141" s="399" t="s">
        <v>1239</v>
      </c>
      <c r="I141" s="399" t="s">
        <v>1239</v>
      </c>
      <c r="J141" s="399" t="s">
        <v>2329</v>
      </c>
      <c r="K141" s="789">
        <v>44501</v>
      </c>
      <c r="L141" s="399">
        <v>0</v>
      </c>
      <c r="M141" s="399">
        <v>0</v>
      </c>
      <c r="N141" s="399">
        <v>0</v>
      </c>
      <c r="O141" s="399">
        <v>0</v>
      </c>
      <c r="P141" s="399">
        <v>0</v>
      </c>
      <c r="Q141" s="399">
        <v>0</v>
      </c>
      <c r="R141" s="399"/>
      <c r="S141" s="399"/>
      <c r="T141" s="399"/>
      <c r="U141" s="399"/>
      <c r="V141" s="399"/>
      <c r="W141" s="399"/>
      <c r="X141" s="399"/>
      <c r="Y141" s="399"/>
      <c r="Z141" s="399"/>
      <c r="AA141" s="399">
        <v>0</v>
      </c>
      <c r="AB141" s="399"/>
      <c r="AC141" s="399"/>
      <c r="AD141" s="399"/>
      <c r="AE141" s="399"/>
      <c r="AF141" s="399"/>
      <c r="AG141" s="399"/>
      <c r="AH141" s="399"/>
      <c r="AI141" s="399"/>
      <c r="AJ141" s="399"/>
      <c r="AK141" s="399"/>
      <c r="AL141" s="399"/>
      <c r="AM141" s="399"/>
      <c r="AN141" s="399"/>
      <c r="AO141" s="399"/>
      <c r="AP141" s="399"/>
      <c r="AQ141" s="399"/>
      <c r="AR141" s="399"/>
      <c r="AS141" s="399"/>
      <c r="AT141" s="399"/>
      <c r="AU141" s="399"/>
      <c r="AV141" s="399"/>
      <c r="AW141" s="399"/>
      <c r="AX141" s="399"/>
      <c r="AY141" s="399"/>
      <c r="AZ141" s="399">
        <v>0</v>
      </c>
      <c r="BA141" s="399"/>
      <c r="BB141" s="399"/>
      <c r="BC141" s="399"/>
      <c r="BD141" s="399"/>
      <c r="BE141" s="399"/>
      <c r="BF141" s="399"/>
      <c r="BG141" s="399"/>
      <c r="BH141" s="399"/>
      <c r="BI141" s="399">
        <v>0.88</v>
      </c>
      <c r="BJ141" s="399">
        <v>4.12</v>
      </c>
      <c r="BK141" s="399">
        <v>29.36</v>
      </c>
      <c r="BL141" s="399">
        <v>3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/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/>
      <c r="CJ141" s="399">
        <v>-0.03</v>
      </c>
      <c r="CK141" s="399"/>
      <c r="CL141" s="399"/>
      <c r="CM141" s="399"/>
      <c r="CN141" s="399"/>
      <c r="CO141" s="399">
        <v>0</v>
      </c>
      <c r="CP141" s="399">
        <v>0</v>
      </c>
      <c r="CQ141" s="399">
        <v>30</v>
      </c>
      <c r="CR141" s="399"/>
      <c r="CS141" s="399"/>
      <c r="CT141" s="399"/>
      <c r="CU141" s="399"/>
      <c r="CV141" s="399"/>
      <c r="CW141" s="399"/>
      <c r="CX141" s="399"/>
      <c r="CY141" s="399"/>
      <c r="CZ141" s="399"/>
      <c r="DA141" s="399"/>
      <c r="DB141" s="399"/>
      <c r="DC141" s="399"/>
      <c r="DD141" s="399"/>
      <c r="DE141" s="399"/>
      <c r="DF141" s="399"/>
      <c r="DG141" s="399"/>
      <c r="DH141" s="399"/>
      <c r="DI141" s="399"/>
      <c r="DJ141" s="399"/>
      <c r="DK141" s="399">
        <v>0</v>
      </c>
      <c r="DL141" s="399"/>
      <c r="DM141" s="399"/>
      <c r="DN141" s="399"/>
      <c r="DO141" s="399"/>
      <c r="DP141" s="399"/>
      <c r="DQ141" s="399"/>
      <c r="DR141" s="399"/>
      <c r="DS141" s="399"/>
      <c r="DT141" s="399"/>
      <c r="DU141" s="399"/>
      <c r="DV141" s="399"/>
      <c r="DW141" s="399"/>
      <c r="DX141" s="399"/>
      <c r="DY141" s="399"/>
      <c r="DZ141" s="399"/>
      <c r="EA141" s="399"/>
      <c r="EB141" s="399"/>
      <c r="EC141" s="399"/>
      <c r="ED141" s="399"/>
      <c r="EE141" s="399"/>
      <c r="EF141" s="399"/>
      <c r="EG141" s="399"/>
      <c r="EH141" s="399"/>
      <c r="EI141" s="399"/>
      <c r="EJ141" s="399"/>
      <c r="EK141" s="399"/>
      <c r="EL141" s="399"/>
      <c r="EM141" s="399"/>
      <c r="EN141" s="399"/>
      <c r="EO141" s="399"/>
      <c r="EP141" s="399"/>
      <c r="EQ141" s="399"/>
      <c r="ER141" s="399"/>
      <c r="ES141" s="399"/>
      <c r="ET141" s="399"/>
      <c r="EU141" s="399"/>
      <c r="EV141" s="399">
        <v>218</v>
      </c>
      <c r="EW141" s="399"/>
      <c r="EX141" s="399"/>
      <c r="EY141" s="399"/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2328</v>
      </c>
      <c r="D142" s="399" t="s">
        <v>2335</v>
      </c>
      <c r="E142" s="399" t="s">
        <v>894</v>
      </c>
      <c r="F142" s="399" t="s">
        <v>2363</v>
      </c>
      <c r="G142" s="399" t="s">
        <v>2340</v>
      </c>
      <c r="H142" s="399" t="s">
        <v>1239</v>
      </c>
      <c r="I142" s="399" t="s">
        <v>1239</v>
      </c>
      <c r="J142" s="399" t="s">
        <v>2329</v>
      </c>
      <c r="K142" s="789">
        <v>44501</v>
      </c>
      <c r="L142" s="399">
        <v>0</v>
      </c>
      <c r="M142" s="399">
        <v>0</v>
      </c>
      <c r="N142" s="399">
        <v>3.339</v>
      </c>
      <c r="O142" s="399">
        <v>3.339</v>
      </c>
      <c r="P142" s="399">
        <v>3.339</v>
      </c>
      <c r="Q142" s="399">
        <v>3.339</v>
      </c>
      <c r="R142" s="399"/>
      <c r="S142" s="399">
        <v>521.86</v>
      </c>
      <c r="T142" s="399">
        <v>141.32</v>
      </c>
      <c r="U142" s="399"/>
      <c r="V142" s="399">
        <v>2214.3580200000001</v>
      </c>
      <c r="W142" s="399">
        <v>2214.3580200000001</v>
      </c>
      <c r="X142" s="399">
        <v>1730.7038699999998</v>
      </c>
      <c r="Y142" s="399">
        <v>0</v>
      </c>
      <c r="Z142" s="399">
        <v>202.60064488587631</v>
      </c>
      <c r="AA142" s="399">
        <v>0</v>
      </c>
      <c r="AB142" s="399">
        <v>0</v>
      </c>
      <c r="AC142" s="399">
        <v>0</v>
      </c>
      <c r="AD142" s="399">
        <v>359.12214562344508</v>
      </c>
      <c r="AE142" s="399">
        <v>1085.0107040309956</v>
      </c>
      <c r="AF142" s="399">
        <v>471.86390737680131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31.326472453218447</v>
      </c>
      <c r="AM142" s="399"/>
      <c r="AN142" s="399">
        <v>4.6307478561255291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59.784454458717981</v>
      </c>
      <c r="BH142" s="399">
        <v>0</v>
      </c>
      <c r="BI142" s="399">
        <v>0</v>
      </c>
      <c r="BJ142" s="399">
        <v>0</v>
      </c>
      <c r="BK142" s="399">
        <v>0</v>
      </c>
      <c r="BL142" s="399">
        <v>0</v>
      </c>
      <c r="BM142" s="399"/>
      <c r="BN142" s="399"/>
      <c r="BO142" s="399"/>
      <c r="BP142" s="399"/>
      <c r="BQ142" s="399"/>
      <c r="BR142" s="399">
        <v>207.68580000000003</v>
      </c>
      <c r="BS142" s="399"/>
      <c r="BT142" s="399"/>
      <c r="BU142" s="399"/>
      <c r="BV142" s="399">
        <v>531.64836183551927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1523.4741999999999</v>
      </c>
      <c r="CJ142" s="399">
        <v>-425.16281000000004</v>
      </c>
      <c r="CK142" s="399"/>
      <c r="CL142" s="399"/>
      <c r="CM142" s="399"/>
      <c r="CN142" s="399"/>
      <c r="CO142" s="399">
        <v>-483.65415000000007</v>
      </c>
      <c r="CP142" s="399">
        <v>0</v>
      </c>
      <c r="CQ142" s="399">
        <v>30</v>
      </c>
      <c r="CR142" s="399">
        <v>-14.877707042572638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-1.7103921747992672</v>
      </c>
      <c r="DA142" s="399">
        <v>0</v>
      </c>
      <c r="DB142" s="399">
        <v>0</v>
      </c>
      <c r="DC142" s="399">
        <v>0</v>
      </c>
      <c r="DD142" s="399">
        <v>0</v>
      </c>
      <c r="DE142" s="399">
        <v>0</v>
      </c>
      <c r="DF142" s="399">
        <v>0</v>
      </c>
      <c r="DG142" s="399">
        <v>0</v>
      </c>
      <c r="DH142" s="399">
        <v>0</v>
      </c>
      <c r="DI142" s="399">
        <v>-11.415262122321423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-1.565327516805219</v>
      </c>
      <c r="DP142" s="399">
        <v>-0.18672522864688013</v>
      </c>
      <c r="DQ142" s="399">
        <v>0</v>
      </c>
      <c r="DR142" s="399">
        <v>0</v>
      </c>
      <c r="DS142" s="399"/>
      <c r="DT142" s="399"/>
      <c r="DU142" s="399"/>
      <c r="DV142" s="399">
        <v>1085.0107040309956</v>
      </c>
      <c r="DW142" s="399">
        <v>0</v>
      </c>
      <c r="DX142" s="399">
        <v>0</v>
      </c>
      <c r="DY142" s="399">
        <v>-483.65415000000007</v>
      </c>
      <c r="DZ142" s="399">
        <v>0</v>
      </c>
      <c r="EA142" s="399">
        <v>0</v>
      </c>
      <c r="EB142" s="399">
        <v>0</v>
      </c>
      <c r="EC142" s="399">
        <v>-468.74565612147944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218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2361</v>
      </c>
      <c r="C143" s="399" t="s">
        <v>2328</v>
      </c>
      <c r="D143" s="399" t="s">
        <v>2335</v>
      </c>
      <c r="E143" s="399" t="s">
        <v>894</v>
      </c>
      <c r="F143" s="399" t="s">
        <v>2363</v>
      </c>
      <c r="G143" s="399" t="s">
        <v>2340</v>
      </c>
      <c r="H143" s="399" t="s">
        <v>1239</v>
      </c>
      <c r="I143" s="399" t="s">
        <v>1239</v>
      </c>
      <c r="J143" s="399" t="s">
        <v>2329</v>
      </c>
      <c r="K143" s="789">
        <v>44501</v>
      </c>
      <c r="L143" s="399">
        <v>0</v>
      </c>
      <c r="M143" s="399">
        <v>0</v>
      </c>
      <c r="N143" s="399">
        <v>0.19600000000000001</v>
      </c>
      <c r="O143" s="399">
        <v>0.19600000000000001</v>
      </c>
      <c r="P143" s="399">
        <v>0.19600000000000001</v>
      </c>
      <c r="Q143" s="399">
        <v>0.19600000000000001</v>
      </c>
      <c r="R143" s="399"/>
      <c r="S143" s="399">
        <v>521.86</v>
      </c>
      <c r="T143" s="399">
        <v>141.32</v>
      </c>
      <c r="U143" s="399"/>
      <c r="V143" s="399">
        <v>129.98328000000001</v>
      </c>
      <c r="W143" s="399">
        <v>129.98328000000001</v>
      </c>
      <c r="X143" s="399">
        <v>101.59268</v>
      </c>
      <c r="Y143" s="399">
        <v>0</v>
      </c>
      <c r="Z143" s="399">
        <v>11.892700328730685</v>
      </c>
      <c r="AA143" s="399">
        <v>0</v>
      </c>
      <c r="AB143" s="399">
        <v>0</v>
      </c>
      <c r="AC143" s="399">
        <v>0</v>
      </c>
      <c r="AD143" s="399">
        <v>21.080545235757786</v>
      </c>
      <c r="AE143" s="399">
        <v>63.690355792175843</v>
      </c>
      <c r="AF143" s="399">
        <v>27.698510286269261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1.838870500398567</v>
      </c>
      <c r="AM143" s="399"/>
      <c r="AN143" s="399">
        <v>0.27182586996124702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3.5093600101553535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>
        <v>12.191200000000002</v>
      </c>
      <c r="BS143" s="399"/>
      <c r="BT143" s="399"/>
      <c r="BU143" s="399"/>
      <c r="BV143" s="399">
        <v>31.207870296424616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91.225999999999999</v>
      </c>
      <c r="CJ143" s="399">
        <v>-23.18764000000003</v>
      </c>
      <c r="CK143" s="399"/>
      <c r="CL143" s="399"/>
      <c r="CM143" s="399"/>
      <c r="CN143" s="399"/>
      <c r="CO143" s="399">
        <v>-28.390600000000006</v>
      </c>
      <c r="CP143" s="399">
        <v>0</v>
      </c>
      <c r="CQ143" s="399">
        <v>30</v>
      </c>
      <c r="CR143" s="399">
        <v>-0.87332452241517444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-0.10040037923350198</v>
      </c>
      <c r="DA143" s="399">
        <v>0</v>
      </c>
      <c r="DB143" s="399">
        <v>0</v>
      </c>
      <c r="DC143" s="399">
        <v>0</v>
      </c>
      <c r="DD143" s="399">
        <v>0</v>
      </c>
      <c r="DE143" s="399">
        <v>0</v>
      </c>
      <c r="DF143" s="399">
        <v>0</v>
      </c>
      <c r="DG143" s="399">
        <v>0</v>
      </c>
      <c r="DH143" s="399">
        <v>0</v>
      </c>
      <c r="DI143" s="399">
        <v>-0.67007827971698042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-9.1885053397371186E-2</v>
      </c>
      <c r="DP143" s="399">
        <v>-1.0960810067322135E-2</v>
      </c>
      <c r="DQ143" s="399">
        <v>0</v>
      </c>
      <c r="DR143" s="399">
        <v>0</v>
      </c>
      <c r="DS143" s="399"/>
      <c r="DT143" s="399"/>
      <c r="DU143" s="399"/>
      <c r="DV143" s="399">
        <v>63.690355792175843</v>
      </c>
      <c r="DW143" s="399">
        <v>0</v>
      </c>
      <c r="DX143" s="399">
        <v>0</v>
      </c>
      <c r="DY143" s="399">
        <v>-28.390600000000006</v>
      </c>
      <c r="DZ143" s="399">
        <v>0</v>
      </c>
      <c r="EA143" s="399">
        <v>0</v>
      </c>
      <c r="EB143" s="399">
        <v>0</v>
      </c>
      <c r="EC143" s="399">
        <v>-27.515468283860422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218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2328</v>
      </c>
      <c r="D144" s="399" t="s">
        <v>2335</v>
      </c>
      <c r="E144" s="399" t="s">
        <v>894</v>
      </c>
      <c r="F144" s="399" t="s">
        <v>2363</v>
      </c>
      <c r="G144" s="399" t="s">
        <v>2341</v>
      </c>
      <c r="H144" s="399" t="s">
        <v>1239</v>
      </c>
      <c r="I144" s="399" t="s">
        <v>1239</v>
      </c>
      <c r="J144" s="399" t="s">
        <v>2329</v>
      </c>
      <c r="K144" s="789">
        <v>44501</v>
      </c>
      <c r="L144" s="399">
        <v>0</v>
      </c>
      <c r="M144" s="399">
        <v>0</v>
      </c>
      <c r="N144" s="399">
        <v>2.6339999999999999</v>
      </c>
      <c r="O144" s="399">
        <v>1.0536000000000001</v>
      </c>
      <c r="P144" s="399">
        <v>2.6339999999999999</v>
      </c>
      <c r="Q144" s="399">
        <v>1.0536000000000001</v>
      </c>
      <c r="R144" s="399"/>
      <c r="S144" s="399">
        <v>521.86</v>
      </c>
      <c r="T144" s="399">
        <v>141.32</v>
      </c>
      <c r="U144" s="399"/>
      <c r="V144" s="399">
        <v>1746.81612</v>
      </c>
      <c r="W144" s="399">
        <v>1746.81612</v>
      </c>
      <c r="X144" s="399">
        <v>1365.2812199999998</v>
      </c>
      <c r="Y144" s="399">
        <v>0</v>
      </c>
      <c r="Z144" s="399">
        <v>159.82332992794196</v>
      </c>
      <c r="AA144" s="399">
        <v>0</v>
      </c>
      <c r="AB144" s="399">
        <v>0</v>
      </c>
      <c r="AC144" s="399">
        <v>0</v>
      </c>
      <c r="AD144" s="399">
        <v>283.29671505605103</v>
      </c>
      <c r="AE144" s="399">
        <v>855.92039365607741</v>
      </c>
      <c r="AF144" s="399">
        <v>372.23406170425113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24.712167847192987</v>
      </c>
      <c r="AM144" s="399"/>
      <c r="AN144" s="399">
        <v>3.6530068442751253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47.161501360965303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>
        <v>884.70265199999983</v>
      </c>
      <c r="BT144" s="399"/>
      <c r="BU144" s="399"/>
      <c r="BV144" s="399">
        <v>419.39556306521644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478.93650000000002</v>
      </c>
      <c r="CJ144" s="399">
        <v>-135.96392400000002</v>
      </c>
      <c r="CK144" s="399"/>
      <c r="CL144" s="399"/>
      <c r="CM144" s="399"/>
      <c r="CN144" s="399"/>
      <c r="CO144" s="399">
        <v>-381.53490000000005</v>
      </c>
      <c r="CP144" s="399">
        <v>0</v>
      </c>
      <c r="CQ144" s="399">
        <v>30</v>
      </c>
      <c r="CR144" s="399">
        <v>-11.736412204293742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-1.3492581576584257</v>
      </c>
      <c r="DA144" s="399">
        <v>0</v>
      </c>
      <c r="DB144" s="399">
        <v>0</v>
      </c>
      <c r="DC144" s="399">
        <v>0</v>
      </c>
      <c r="DD144" s="399">
        <v>0</v>
      </c>
      <c r="DE144" s="399">
        <v>0</v>
      </c>
      <c r="DF144" s="399">
        <v>0</v>
      </c>
      <c r="DG144" s="399">
        <v>0</v>
      </c>
      <c r="DH144" s="399">
        <v>0</v>
      </c>
      <c r="DI144" s="399">
        <v>-9.0050315753802295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-1.2348226053503879</v>
      </c>
      <c r="DP144" s="399">
        <v>-0.14729986590472643</v>
      </c>
      <c r="DQ144" s="399">
        <v>0</v>
      </c>
      <c r="DR144" s="399">
        <v>0</v>
      </c>
      <c r="DS144" s="399"/>
      <c r="DT144" s="399"/>
      <c r="DU144" s="399"/>
      <c r="DV144" s="399">
        <v>855.92039365607741</v>
      </c>
      <c r="DW144" s="399">
        <v>0</v>
      </c>
      <c r="DX144" s="399">
        <v>0</v>
      </c>
      <c r="DY144" s="399">
        <v>-381.53490000000011</v>
      </c>
      <c r="DZ144" s="399">
        <v>0</v>
      </c>
      <c r="EA144" s="399">
        <v>0</v>
      </c>
      <c r="EB144" s="399">
        <v>0</v>
      </c>
      <c r="EC144" s="399">
        <v>-369.77420132494063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218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2361</v>
      </c>
      <c r="C145" s="399" t="s">
        <v>2328</v>
      </c>
      <c r="D145" s="399" t="s">
        <v>2335</v>
      </c>
      <c r="E145" s="399" t="s">
        <v>894</v>
      </c>
      <c r="F145" s="399" t="s">
        <v>2363</v>
      </c>
      <c r="G145" s="399" t="s">
        <v>2341</v>
      </c>
      <c r="H145" s="399" t="s">
        <v>1239</v>
      </c>
      <c r="I145" s="399" t="s">
        <v>1239</v>
      </c>
      <c r="J145" s="399" t="s">
        <v>2329</v>
      </c>
      <c r="K145" s="789">
        <v>44501</v>
      </c>
      <c r="L145" s="399">
        <v>0</v>
      </c>
      <c r="M145" s="399">
        <v>0</v>
      </c>
      <c r="N145" s="399">
        <v>4.0000000000000001E-3</v>
      </c>
      <c r="O145" s="399">
        <v>1.6000000000000001E-3</v>
      </c>
      <c r="P145" s="399">
        <v>4.0000000000000001E-3</v>
      </c>
      <c r="Q145" s="399">
        <v>1.6000000000000001E-3</v>
      </c>
      <c r="R145" s="399"/>
      <c r="S145" s="399">
        <v>521.86</v>
      </c>
      <c r="T145" s="399">
        <v>141.32</v>
      </c>
      <c r="U145" s="399"/>
      <c r="V145" s="399">
        <v>2.65272</v>
      </c>
      <c r="W145" s="399">
        <v>2.65272</v>
      </c>
      <c r="X145" s="399">
        <v>2.0733199999999998</v>
      </c>
      <c r="Y145" s="399">
        <v>0</v>
      </c>
      <c r="Z145" s="399">
        <v>0.24270816997409561</v>
      </c>
      <c r="AA145" s="399">
        <v>0</v>
      </c>
      <c r="AB145" s="399">
        <v>0</v>
      </c>
      <c r="AC145" s="399">
        <v>0</v>
      </c>
      <c r="AD145" s="399">
        <v>0.43021520889301601</v>
      </c>
      <c r="AE145" s="399">
        <v>1.2998031794321601</v>
      </c>
      <c r="AF145" s="399">
        <v>0.56527572012794403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3.7527969395889121E-2</v>
      </c>
      <c r="AM145" s="399"/>
      <c r="AN145" s="399">
        <v>5.547466733903E-3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7.1619592043986796E-2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>
        <v>1.343512</v>
      </c>
      <c r="BT145" s="399"/>
      <c r="BU145" s="399"/>
      <c r="BV145" s="399">
        <v>0.63689531217193085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0</v>
      </c>
      <c r="CJ145" s="399">
        <v>-0.96374400000000016</v>
      </c>
      <c r="CK145" s="399"/>
      <c r="CL145" s="399"/>
      <c r="CM145" s="399"/>
      <c r="CN145" s="399"/>
      <c r="CO145" s="399">
        <v>-0.57940000000000014</v>
      </c>
      <c r="CP145" s="399">
        <v>0</v>
      </c>
      <c r="CQ145" s="399">
        <v>30</v>
      </c>
      <c r="CR145" s="399">
        <v>-1.7822949437044322E-2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-2.0489873312959928E-3</v>
      </c>
      <c r="DA145" s="399">
        <v>0</v>
      </c>
      <c r="DB145" s="399">
        <v>0</v>
      </c>
      <c r="DC145" s="399">
        <v>0</v>
      </c>
      <c r="DD145" s="399">
        <v>0</v>
      </c>
      <c r="DE145" s="399">
        <v>0</v>
      </c>
      <c r="DF145" s="399">
        <v>0</v>
      </c>
      <c r="DG145" s="399">
        <v>0</v>
      </c>
      <c r="DH145" s="399">
        <v>0</v>
      </c>
      <c r="DI145" s="399">
        <v>-1.3675066932999608E-2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-1.875205171374919E-3</v>
      </c>
      <c r="DP145" s="399">
        <v>-2.2369000137392042E-4</v>
      </c>
      <c r="DQ145" s="399">
        <v>0</v>
      </c>
      <c r="DR145" s="399">
        <v>0</v>
      </c>
      <c r="DS145" s="399"/>
      <c r="DT145" s="399"/>
      <c r="DU145" s="399"/>
      <c r="DV145" s="399">
        <v>1.2998031794321601</v>
      </c>
      <c r="DW145" s="399">
        <v>0</v>
      </c>
      <c r="DX145" s="399">
        <v>0</v>
      </c>
      <c r="DY145" s="399">
        <v>-0.57939999999999992</v>
      </c>
      <c r="DZ145" s="399">
        <v>0</v>
      </c>
      <c r="EA145" s="399">
        <v>0</v>
      </c>
      <c r="EB145" s="399">
        <v>0</v>
      </c>
      <c r="EC145" s="399">
        <v>-0.561540169058376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218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2328</v>
      </c>
      <c r="D146" s="399" t="s">
        <v>2335</v>
      </c>
      <c r="E146" s="399" t="s">
        <v>894</v>
      </c>
      <c r="F146" s="399" t="s">
        <v>2342</v>
      </c>
      <c r="G146" s="399" t="s">
        <v>2340</v>
      </c>
      <c r="H146" s="399" t="s">
        <v>1239</v>
      </c>
      <c r="I146" s="399" t="s">
        <v>1239</v>
      </c>
      <c r="J146" s="399" t="s">
        <v>2329</v>
      </c>
      <c r="K146" s="789">
        <v>44501</v>
      </c>
      <c r="L146" s="399">
        <v>0</v>
      </c>
      <c r="M146" s="399">
        <v>0</v>
      </c>
      <c r="N146" s="399">
        <v>0</v>
      </c>
      <c r="O146" s="399">
        <v>0</v>
      </c>
      <c r="P146" s="399">
        <v>0</v>
      </c>
      <c r="Q146" s="399">
        <v>0</v>
      </c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>
        <v>0</v>
      </c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>
        <v>0</v>
      </c>
      <c r="BA146" s="399"/>
      <c r="BB146" s="399"/>
      <c r="BC146" s="399"/>
      <c r="BD146" s="399"/>
      <c r="BE146" s="399"/>
      <c r="BF146" s="399"/>
      <c r="BG146" s="399"/>
      <c r="BH146" s="399"/>
      <c r="BI146" s="399">
        <v>55.27</v>
      </c>
      <c r="BJ146" s="399">
        <v>255.28</v>
      </c>
      <c r="BK146" s="399">
        <v>2100.5500000000002</v>
      </c>
      <c r="BL146" s="399">
        <v>16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/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/>
      <c r="CJ146" s="399">
        <v>-0.03</v>
      </c>
      <c r="CK146" s="399"/>
      <c r="CL146" s="399"/>
      <c r="CM146" s="399"/>
      <c r="CN146" s="399"/>
      <c r="CO146" s="399">
        <v>0</v>
      </c>
      <c r="CP146" s="399">
        <v>0</v>
      </c>
      <c r="CQ146" s="399">
        <v>30</v>
      </c>
      <c r="CR146" s="399"/>
      <c r="CS146" s="399"/>
      <c r="CT146" s="399"/>
      <c r="CU146" s="399"/>
      <c r="CV146" s="399"/>
      <c r="CW146" s="399"/>
      <c r="CX146" s="399"/>
      <c r="CY146" s="399"/>
      <c r="CZ146" s="399"/>
      <c r="DA146" s="399"/>
      <c r="DB146" s="399"/>
      <c r="DC146" s="399"/>
      <c r="DD146" s="399"/>
      <c r="DE146" s="399"/>
      <c r="DF146" s="399"/>
      <c r="DG146" s="399"/>
      <c r="DH146" s="399"/>
      <c r="DI146" s="399"/>
      <c r="DJ146" s="399"/>
      <c r="DK146" s="399">
        <v>0</v>
      </c>
      <c r="DL146" s="399"/>
      <c r="DM146" s="399"/>
      <c r="DN146" s="399"/>
      <c r="DO146" s="399"/>
      <c r="DP146" s="399"/>
      <c r="DQ146" s="399"/>
      <c r="DR146" s="399"/>
      <c r="DS146" s="399"/>
      <c r="DT146" s="399"/>
      <c r="DU146" s="399"/>
      <c r="DV146" s="399"/>
      <c r="DW146" s="399"/>
      <c r="DX146" s="399"/>
      <c r="DY146" s="399"/>
      <c r="DZ146" s="399"/>
      <c r="EA146" s="399"/>
      <c r="EB146" s="399"/>
      <c r="EC146" s="399"/>
      <c r="ED146" s="399"/>
      <c r="EE146" s="399"/>
      <c r="EF146" s="399"/>
      <c r="EG146" s="399"/>
      <c r="EH146" s="399"/>
      <c r="EI146" s="399"/>
      <c r="EJ146" s="399"/>
      <c r="EK146" s="399"/>
      <c r="EL146" s="399"/>
      <c r="EM146" s="399"/>
      <c r="EN146" s="399"/>
      <c r="EO146" s="399"/>
      <c r="EP146" s="399"/>
      <c r="EQ146" s="399"/>
      <c r="ER146" s="399"/>
      <c r="ES146" s="399"/>
      <c r="ET146" s="399"/>
      <c r="EU146" s="399"/>
      <c r="EV146" s="399">
        <v>218</v>
      </c>
      <c r="EW146" s="399"/>
      <c r="EX146" s="399"/>
      <c r="EY146" s="399"/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2361</v>
      </c>
      <c r="C147" s="399" t="s">
        <v>2328</v>
      </c>
      <c r="D147" s="399" t="s">
        <v>2335</v>
      </c>
      <c r="E147" s="399" t="s">
        <v>894</v>
      </c>
      <c r="F147" s="399" t="s">
        <v>2342</v>
      </c>
      <c r="G147" s="399" t="s">
        <v>2340</v>
      </c>
      <c r="H147" s="399" t="s">
        <v>1239</v>
      </c>
      <c r="I147" s="399" t="s">
        <v>1239</v>
      </c>
      <c r="J147" s="399" t="s">
        <v>2329</v>
      </c>
      <c r="K147" s="789">
        <v>44501</v>
      </c>
      <c r="L147" s="399">
        <v>0</v>
      </c>
      <c r="M147" s="399">
        <v>0</v>
      </c>
      <c r="N147" s="399">
        <v>0</v>
      </c>
      <c r="O147" s="399">
        <v>0</v>
      </c>
      <c r="P147" s="399">
        <v>0</v>
      </c>
      <c r="Q147" s="399">
        <v>0</v>
      </c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>
        <v>0</v>
      </c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>
        <v>0</v>
      </c>
      <c r="BA147" s="399"/>
      <c r="BB147" s="399"/>
      <c r="BC147" s="399"/>
      <c r="BD147" s="399"/>
      <c r="BE147" s="399"/>
      <c r="BF147" s="399"/>
      <c r="BG147" s="399"/>
      <c r="BH147" s="399"/>
      <c r="BI147" s="399">
        <v>28.88</v>
      </c>
      <c r="BJ147" s="399">
        <v>133.41999999999999</v>
      </c>
      <c r="BK147" s="399">
        <v>996.8</v>
      </c>
      <c r="BL147" s="399">
        <v>5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>
        <v>-0.03</v>
      </c>
      <c r="CK147" s="399"/>
      <c r="CL147" s="399"/>
      <c r="CM147" s="399"/>
      <c r="CN147" s="399"/>
      <c r="CO147" s="399">
        <v>0</v>
      </c>
      <c r="CP147" s="399">
        <v>0</v>
      </c>
      <c r="CQ147" s="399">
        <v>30</v>
      </c>
      <c r="CR147" s="399"/>
      <c r="CS147" s="399"/>
      <c r="CT147" s="399"/>
      <c r="CU147" s="399"/>
      <c r="CV147" s="399"/>
      <c r="CW147" s="399"/>
      <c r="CX147" s="399"/>
      <c r="CY147" s="399"/>
      <c r="CZ147" s="399"/>
      <c r="DA147" s="399"/>
      <c r="DB147" s="399"/>
      <c r="DC147" s="399"/>
      <c r="DD147" s="399"/>
      <c r="DE147" s="399"/>
      <c r="DF147" s="399"/>
      <c r="DG147" s="399"/>
      <c r="DH147" s="399"/>
      <c r="DI147" s="399"/>
      <c r="DJ147" s="399"/>
      <c r="DK147" s="399">
        <v>0</v>
      </c>
      <c r="DL147" s="399"/>
      <c r="DM147" s="399"/>
      <c r="DN147" s="399"/>
      <c r="DO147" s="399"/>
      <c r="DP147" s="399"/>
      <c r="DQ147" s="399"/>
      <c r="DR147" s="399"/>
      <c r="DS147" s="399"/>
      <c r="DT147" s="399"/>
      <c r="DU147" s="399"/>
      <c r="DV147" s="399"/>
      <c r="DW147" s="399"/>
      <c r="DX147" s="399"/>
      <c r="DY147" s="399"/>
      <c r="DZ147" s="399"/>
      <c r="EA147" s="399"/>
      <c r="EB147" s="399"/>
      <c r="EC147" s="399"/>
      <c r="ED147" s="399"/>
      <c r="EE147" s="399"/>
      <c r="EF147" s="399"/>
      <c r="EG147" s="399"/>
      <c r="EH147" s="399"/>
      <c r="EI147" s="399"/>
      <c r="EJ147" s="399"/>
      <c r="EK147" s="399"/>
      <c r="EL147" s="399"/>
      <c r="EM147" s="399"/>
      <c r="EN147" s="399"/>
      <c r="EO147" s="399"/>
      <c r="EP147" s="399"/>
      <c r="EQ147" s="399"/>
      <c r="ER147" s="399"/>
      <c r="ES147" s="399"/>
      <c r="ET147" s="399"/>
      <c r="EU147" s="399"/>
      <c r="EV147" s="399">
        <v>218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2328</v>
      </c>
      <c r="D148" s="399" t="s">
        <v>2335</v>
      </c>
      <c r="E148" s="399" t="s">
        <v>894</v>
      </c>
      <c r="F148" s="399" t="s">
        <v>2342</v>
      </c>
      <c r="G148" s="399" t="s">
        <v>2340</v>
      </c>
      <c r="H148" s="399" t="s">
        <v>1239</v>
      </c>
      <c r="I148" s="399" t="s">
        <v>1239</v>
      </c>
      <c r="J148" s="399" t="s">
        <v>2329</v>
      </c>
      <c r="K148" s="789">
        <v>44501</v>
      </c>
      <c r="L148" s="399">
        <v>0</v>
      </c>
      <c r="M148" s="399">
        <v>0</v>
      </c>
      <c r="N148" s="399">
        <v>4.6059999999999999</v>
      </c>
      <c r="O148" s="399">
        <v>4.6059999999999999</v>
      </c>
      <c r="P148" s="399">
        <v>4.6059999999999999</v>
      </c>
      <c r="Q148" s="399">
        <v>4.6059999999999999</v>
      </c>
      <c r="R148" s="399"/>
      <c r="S148" s="399">
        <v>521.86</v>
      </c>
      <c r="T148" s="399">
        <v>141.32</v>
      </c>
      <c r="U148" s="399"/>
      <c r="V148" s="399">
        <v>3054.6070799999998</v>
      </c>
      <c r="W148" s="399">
        <v>3054.6070799999998</v>
      </c>
      <c r="X148" s="399">
        <v>2387.4279799999999</v>
      </c>
      <c r="Y148" s="399">
        <v>0</v>
      </c>
      <c r="Z148" s="399">
        <v>279.4784577251711</v>
      </c>
      <c r="AA148" s="399">
        <v>0</v>
      </c>
      <c r="AB148" s="399">
        <v>0</v>
      </c>
      <c r="AC148" s="399">
        <v>0</v>
      </c>
      <c r="AD148" s="399">
        <v>495.39281304030789</v>
      </c>
      <c r="AE148" s="399">
        <v>1496.7233611161323</v>
      </c>
      <c r="AF148" s="399">
        <v>650.91499172732756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43.213456759366323</v>
      </c>
      <c r="AM148" s="399"/>
      <c r="AN148" s="399">
        <v>6.3879079440893038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82.469960238650799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>
        <v>286.4932</v>
      </c>
      <c r="BS148" s="399"/>
      <c r="BT148" s="399"/>
      <c r="BU148" s="399"/>
      <c r="BV148" s="399">
        <v>733.38495196597842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2102.7593000000002</v>
      </c>
      <c r="CJ148" s="399">
        <v>-585.28624000000082</v>
      </c>
      <c r="CK148" s="399"/>
      <c r="CL148" s="399"/>
      <c r="CM148" s="399"/>
      <c r="CN148" s="399"/>
      <c r="CO148" s="399">
        <v>-667.17910000000006</v>
      </c>
      <c r="CP148" s="399">
        <v>0</v>
      </c>
      <c r="CQ148" s="399">
        <v>30</v>
      </c>
      <c r="CR148" s="399">
        <v>-20.523126276756557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-2.3594089119873161</v>
      </c>
      <c r="DA148" s="399">
        <v>0</v>
      </c>
      <c r="DB148" s="399">
        <v>0</v>
      </c>
      <c r="DC148" s="399">
        <v>0</v>
      </c>
      <c r="DD148" s="399">
        <v>0</v>
      </c>
      <c r="DE148" s="399">
        <v>0</v>
      </c>
      <c r="DF148" s="399">
        <v>0</v>
      </c>
      <c r="DG148" s="399">
        <v>0</v>
      </c>
      <c r="DH148" s="399">
        <v>0</v>
      </c>
      <c r="DI148" s="399">
        <v>-15.746839573349064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-2.1592987548382254</v>
      </c>
      <c r="DP148" s="399">
        <v>-0.25757903658206871</v>
      </c>
      <c r="DQ148" s="399">
        <v>0</v>
      </c>
      <c r="DR148" s="399">
        <v>0</v>
      </c>
      <c r="DS148" s="399"/>
      <c r="DT148" s="399"/>
      <c r="DU148" s="399"/>
      <c r="DV148" s="399">
        <v>1496.7233611161323</v>
      </c>
      <c r="DW148" s="399">
        <v>0</v>
      </c>
      <c r="DX148" s="399">
        <v>0</v>
      </c>
      <c r="DY148" s="399">
        <v>-667.17910000000006</v>
      </c>
      <c r="DZ148" s="399">
        <v>0</v>
      </c>
      <c r="EA148" s="399">
        <v>0</v>
      </c>
      <c r="EB148" s="399">
        <v>0</v>
      </c>
      <c r="EC148" s="399">
        <v>-646.61350467071998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218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2361</v>
      </c>
      <c r="C149" s="399" t="s">
        <v>2328</v>
      </c>
      <c r="D149" s="399" t="s">
        <v>2335</v>
      </c>
      <c r="E149" s="399" t="s">
        <v>894</v>
      </c>
      <c r="F149" s="399" t="s">
        <v>2342</v>
      </c>
      <c r="G149" s="399" t="s">
        <v>2340</v>
      </c>
      <c r="H149" s="399" t="s">
        <v>1239</v>
      </c>
      <c r="I149" s="399" t="s">
        <v>1239</v>
      </c>
      <c r="J149" s="399" t="s">
        <v>2329</v>
      </c>
      <c r="K149" s="789">
        <v>44501</v>
      </c>
      <c r="L149" s="399">
        <v>0</v>
      </c>
      <c r="M149" s="399">
        <v>0</v>
      </c>
      <c r="N149" s="399">
        <v>1.756</v>
      </c>
      <c r="O149" s="399">
        <v>1.756</v>
      </c>
      <c r="P149" s="399">
        <v>1.756</v>
      </c>
      <c r="Q149" s="399">
        <v>1.756</v>
      </c>
      <c r="R149" s="399"/>
      <c r="S149" s="399">
        <v>521.86</v>
      </c>
      <c r="T149" s="399">
        <v>141.32</v>
      </c>
      <c r="U149" s="399"/>
      <c r="V149" s="399">
        <v>1164.5440800000001</v>
      </c>
      <c r="W149" s="399">
        <v>1164.5440800000001</v>
      </c>
      <c r="X149" s="399">
        <v>910.18747999999994</v>
      </c>
      <c r="Y149" s="399">
        <v>0</v>
      </c>
      <c r="Z149" s="399">
        <v>106.54888661862796</v>
      </c>
      <c r="AA149" s="399">
        <v>0</v>
      </c>
      <c r="AB149" s="399">
        <v>0</v>
      </c>
      <c r="AC149" s="399">
        <v>0</v>
      </c>
      <c r="AD149" s="399">
        <v>188.86447670403402</v>
      </c>
      <c r="AE149" s="399">
        <v>570.61359577071823</v>
      </c>
      <c r="AF149" s="399">
        <v>248.15604113616743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16.474778564795326</v>
      </c>
      <c r="AM149" s="399"/>
      <c r="AN149" s="399">
        <v>2.4353378961834169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31.441000907310205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>
        <v>109.22320000000001</v>
      </c>
      <c r="BS149" s="399"/>
      <c r="BT149" s="399"/>
      <c r="BU149" s="399"/>
      <c r="BV149" s="399">
        <v>279.59704204347764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802.78880000000004</v>
      </c>
      <c r="CJ149" s="399">
        <v>-222.02523999999994</v>
      </c>
      <c r="CK149" s="399"/>
      <c r="CL149" s="399"/>
      <c r="CM149" s="399"/>
      <c r="CN149" s="399"/>
      <c r="CO149" s="399">
        <v>-254.35660000000004</v>
      </c>
      <c r="CP149" s="399">
        <v>0</v>
      </c>
      <c r="CQ149" s="399">
        <v>30</v>
      </c>
      <c r="CR149" s="399">
        <v>-7.8242748028624192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-0.89950543843892206</v>
      </c>
      <c r="DA149" s="399">
        <v>0</v>
      </c>
      <c r="DB149" s="399">
        <v>0</v>
      </c>
      <c r="DC149" s="399">
        <v>0</v>
      </c>
      <c r="DD149" s="399">
        <v>0</v>
      </c>
      <c r="DE149" s="399">
        <v>0</v>
      </c>
      <c r="DF149" s="399">
        <v>0</v>
      </c>
      <c r="DG149" s="399">
        <v>0</v>
      </c>
      <c r="DH149" s="399">
        <v>0</v>
      </c>
      <c r="DI149" s="399">
        <v>-6.0033543835868102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-0.82321507023359253</v>
      </c>
      <c r="DP149" s="399">
        <v>-9.8199910603150808E-2</v>
      </c>
      <c r="DQ149" s="399">
        <v>0</v>
      </c>
      <c r="DR149" s="399">
        <v>0</v>
      </c>
      <c r="DS149" s="399"/>
      <c r="DT149" s="399"/>
      <c r="DU149" s="399"/>
      <c r="DV149" s="399">
        <v>570.61359577071823</v>
      </c>
      <c r="DW149" s="399">
        <v>0</v>
      </c>
      <c r="DX149" s="399">
        <v>0</v>
      </c>
      <c r="DY149" s="399">
        <v>-254.35660000000007</v>
      </c>
      <c r="DZ149" s="399">
        <v>0</v>
      </c>
      <c r="EA149" s="399">
        <v>0</v>
      </c>
      <c r="EB149" s="399">
        <v>0</v>
      </c>
      <c r="EC149" s="399">
        <v>-246.51613421662705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218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2328</v>
      </c>
      <c r="D150" s="399" t="s">
        <v>2335</v>
      </c>
      <c r="E150" s="399" t="s">
        <v>894</v>
      </c>
      <c r="F150" s="399" t="s">
        <v>2342</v>
      </c>
      <c r="G150" s="399" t="s">
        <v>2341</v>
      </c>
      <c r="H150" s="399" t="s">
        <v>1239</v>
      </c>
      <c r="I150" s="399" t="s">
        <v>1239</v>
      </c>
      <c r="J150" s="399" t="s">
        <v>2329</v>
      </c>
      <c r="K150" s="789">
        <v>44501</v>
      </c>
      <c r="L150" s="399">
        <v>0</v>
      </c>
      <c r="M150" s="399">
        <v>0</v>
      </c>
      <c r="N150" s="399">
        <v>7.8129999999999997</v>
      </c>
      <c r="O150" s="399">
        <v>3.1252</v>
      </c>
      <c r="P150" s="399">
        <v>7.8129999999999997</v>
      </c>
      <c r="Q150" s="399">
        <v>3.1252</v>
      </c>
      <c r="R150" s="399"/>
      <c r="S150" s="399">
        <v>521.86</v>
      </c>
      <c r="T150" s="399">
        <v>141.32</v>
      </c>
      <c r="U150" s="399"/>
      <c r="V150" s="399">
        <v>5181.4253399999998</v>
      </c>
      <c r="W150" s="399">
        <v>5181.4253399999998</v>
      </c>
      <c r="X150" s="399">
        <v>4049.7122899999995</v>
      </c>
      <c r="Y150" s="399">
        <v>0</v>
      </c>
      <c r="Z150" s="399">
        <v>474.06973300190219</v>
      </c>
      <c r="AA150" s="399">
        <v>0</v>
      </c>
      <c r="AB150" s="399">
        <v>0</v>
      </c>
      <c r="AC150" s="399">
        <v>0</v>
      </c>
      <c r="AD150" s="399">
        <v>840.31785677028347</v>
      </c>
      <c r="AE150" s="399">
        <v>2538.8405602258667</v>
      </c>
      <c r="AF150" s="399">
        <v>1104.1248003399066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73.30150622252043</v>
      </c>
      <c r="AM150" s="399"/>
      <c r="AN150" s="399">
        <v>10.835589397996033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139.89096815991721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>
        <v>2624.2148139999999</v>
      </c>
      <c r="BT150" s="399"/>
      <c r="BU150" s="399"/>
      <c r="BV150" s="399">
        <v>1244.0157684998239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1427.6868999999997</v>
      </c>
      <c r="CJ150" s="399">
        <v>-396.17856800000027</v>
      </c>
      <c r="CK150" s="399"/>
      <c r="CL150" s="399"/>
      <c r="CM150" s="399"/>
      <c r="CN150" s="399"/>
      <c r="CO150" s="399">
        <v>-1131.7130500000001</v>
      </c>
      <c r="CP150" s="399">
        <v>0</v>
      </c>
      <c r="CQ150" s="399">
        <v>30</v>
      </c>
      <c r="CR150" s="399">
        <v>-34.812675987906914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-4.002184504853858</v>
      </c>
      <c r="DA150" s="399">
        <v>0</v>
      </c>
      <c r="DB150" s="399">
        <v>0</v>
      </c>
      <c r="DC150" s="399">
        <v>0</v>
      </c>
      <c r="DD150" s="399">
        <v>0</v>
      </c>
      <c r="DE150" s="399">
        <v>0</v>
      </c>
      <c r="DF150" s="399">
        <v>0</v>
      </c>
      <c r="DG150" s="399">
        <v>0</v>
      </c>
      <c r="DH150" s="399">
        <v>0</v>
      </c>
      <c r="DI150" s="399">
        <v>-26.71082448688145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-3.6627445009880688</v>
      </c>
      <c r="DP150" s="399">
        <v>-0.43692249518360882</v>
      </c>
      <c r="DQ150" s="399">
        <v>0</v>
      </c>
      <c r="DR150" s="399">
        <v>0</v>
      </c>
      <c r="DS150" s="399"/>
      <c r="DT150" s="399"/>
      <c r="DU150" s="399"/>
      <c r="DV150" s="399">
        <v>2538.8405602258667</v>
      </c>
      <c r="DW150" s="399">
        <v>0</v>
      </c>
      <c r="DX150" s="399">
        <v>0</v>
      </c>
      <c r="DY150" s="399">
        <v>-1131.7130500000003</v>
      </c>
      <c r="DZ150" s="399">
        <v>0</v>
      </c>
      <c r="EA150" s="399">
        <v>0</v>
      </c>
      <c r="EB150" s="399">
        <v>0</v>
      </c>
      <c r="EC150" s="399">
        <v>-1096.8283352132732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218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2361</v>
      </c>
      <c r="C151" s="399" t="s">
        <v>2328</v>
      </c>
      <c r="D151" s="399" t="s">
        <v>2335</v>
      </c>
      <c r="E151" s="399" t="s">
        <v>894</v>
      </c>
      <c r="F151" s="399" t="s">
        <v>2342</v>
      </c>
      <c r="G151" s="399" t="s">
        <v>2341</v>
      </c>
      <c r="H151" s="399" t="s">
        <v>1239</v>
      </c>
      <c r="I151" s="399" t="s">
        <v>1239</v>
      </c>
      <c r="J151" s="399" t="s">
        <v>2329</v>
      </c>
      <c r="K151" s="789">
        <v>44501</v>
      </c>
      <c r="L151" s="399">
        <v>0</v>
      </c>
      <c r="M151" s="399">
        <v>0</v>
      </c>
      <c r="N151" s="399">
        <v>4.7329999999999997</v>
      </c>
      <c r="O151" s="399">
        <v>1.8932</v>
      </c>
      <c r="P151" s="399">
        <v>4.7329999999999997</v>
      </c>
      <c r="Q151" s="399">
        <v>1.8932</v>
      </c>
      <c r="R151" s="399"/>
      <c r="S151" s="399">
        <v>521.86</v>
      </c>
      <c r="T151" s="399">
        <v>141.32</v>
      </c>
      <c r="U151" s="399"/>
      <c r="V151" s="399">
        <v>3138.8309399999998</v>
      </c>
      <c r="W151" s="399">
        <v>3138.8309399999998</v>
      </c>
      <c r="X151" s="399">
        <v>2453.2558899999995</v>
      </c>
      <c r="Y151" s="399">
        <v>0</v>
      </c>
      <c r="Z151" s="399">
        <v>287.18444212184858</v>
      </c>
      <c r="AA151" s="399">
        <v>0</v>
      </c>
      <c r="AB151" s="399">
        <v>0</v>
      </c>
      <c r="AC151" s="399">
        <v>0</v>
      </c>
      <c r="AD151" s="399">
        <v>509.05214592266111</v>
      </c>
      <c r="AE151" s="399">
        <v>1537.9921120631034</v>
      </c>
      <c r="AF151" s="399">
        <v>668.86249584138977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44.4049697876858</v>
      </c>
      <c r="AM151" s="399"/>
      <c r="AN151" s="399">
        <v>6.5640400128907244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84.743882286047381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/>
      <c r="BS151" s="399">
        <v>1589.7105739999997</v>
      </c>
      <c r="BT151" s="399"/>
      <c r="BU151" s="399"/>
      <c r="BV151" s="399">
        <v>753.60637812743721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862.08569999999986</v>
      </c>
      <c r="CJ151" s="399">
        <v>-242.79688800000031</v>
      </c>
      <c r="CK151" s="399"/>
      <c r="CL151" s="399"/>
      <c r="CM151" s="399"/>
      <c r="CN151" s="399"/>
      <c r="CO151" s="399">
        <v>-685.57505000000003</v>
      </c>
      <c r="CP151" s="399">
        <v>0</v>
      </c>
      <c r="CQ151" s="399">
        <v>30</v>
      </c>
      <c r="CR151" s="399">
        <v>-21.089004921382639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-2.4244642597559505</v>
      </c>
      <c r="DA151" s="399">
        <v>0</v>
      </c>
      <c r="DB151" s="399">
        <v>0</v>
      </c>
      <c r="DC151" s="399">
        <v>0</v>
      </c>
      <c r="DD151" s="399">
        <v>0</v>
      </c>
      <c r="DE151" s="399">
        <v>0</v>
      </c>
      <c r="DF151" s="399">
        <v>0</v>
      </c>
      <c r="DG151" s="399">
        <v>0</v>
      </c>
      <c r="DH151" s="399">
        <v>0</v>
      </c>
      <c r="DI151" s="399">
        <v>-16.181022948471764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-2.2188365190293737</v>
      </c>
      <c r="DP151" s="399">
        <v>-0.26468119412569102</v>
      </c>
      <c r="DQ151" s="399">
        <v>0</v>
      </c>
      <c r="DR151" s="399">
        <v>0</v>
      </c>
      <c r="DS151" s="399"/>
      <c r="DT151" s="399"/>
      <c r="DU151" s="399"/>
      <c r="DV151" s="399">
        <v>1537.9921120631034</v>
      </c>
      <c r="DW151" s="399">
        <v>0</v>
      </c>
      <c r="DX151" s="399">
        <v>0</v>
      </c>
      <c r="DY151" s="399">
        <v>-685.57504999999992</v>
      </c>
      <c r="DZ151" s="399">
        <v>0</v>
      </c>
      <c r="EA151" s="399">
        <v>0</v>
      </c>
      <c r="EB151" s="399">
        <v>0</v>
      </c>
      <c r="EC151" s="399">
        <v>-664.4424050383235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218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2328</v>
      </c>
      <c r="D152" s="399" t="s">
        <v>1823</v>
      </c>
      <c r="E152" s="399" t="s">
        <v>889</v>
      </c>
      <c r="F152" s="399" t="s">
        <v>889</v>
      </c>
      <c r="G152" s="399" t="s">
        <v>1239</v>
      </c>
      <c r="H152" s="399" t="s">
        <v>1239</v>
      </c>
      <c r="I152" s="399" t="s">
        <v>1239</v>
      </c>
      <c r="J152" s="399" t="s">
        <v>2329</v>
      </c>
      <c r="K152" s="789">
        <v>44531</v>
      </c>
      <c r="L152" s="399">
        <v>0</v>
      </c>
      <c r="M152" s="399">
        <v>0</v>
      </c>
      <c r="N152" s="399">
        <v>1105.962</v>
      </c>
      <c r="O152" s="399">
        <v>1105.962</v>
      </c>
      <c r="P152" s="399">
        <v>1105.962</v>
      </c>
      <c r="Q152" s="399">
        <v>1105.962</v>
      </c>
      <c r="R152" s="399"/>
      <c r="S152" s="399">
        <v>521.86</v>
      </c>
      <c r="T152" s="399">
        <v>141.32</v>
      </c>
      <c r="U152" s="399"/>
      <c r="V152" s="399">
        <v>733451.87916000001</v>
      </c>
      <c r="W152" s="399">
        <v>733451.87916000001</v>
      </c>
      <c r="X152" s="399">
        <v>573253.28346000006</v>
      </c>
      <c r="Y152" s="399">
        <v>0</v>
      </c>
      <c r="Z152" s="399">
        <v>67106.503270222674</v>
      </c>
      <c r="AA152" s="399">
        <v>0</v>
      </c>
      <c r="AB152" s="399">
        <v>0</v>
      </c>
      <c r="AC152" s="399">
        <v>0</v>
      </c>
      <c r="AD152" s="399">
        <v>118950.41821443444</v>
      </c>
      <c r="AE152" s="399">
        <v>359383.23098278762</v>
      </c>
      <c r="AF152" s="399">
        <v>156293.36649603531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10376.127022254081</v>
      </c>
      <c r="AM152" s="399"/>
      <c r="AN152" s="399">
        <v>1533.8218509902074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19802.136814037931</v>
      </c>
      <c r="BH152" s="399">
        <v>0</v>
      </c>
      <c r="BI152" s="399">
        <v>4902.4399999999996</v>
      </c>
      <c r="BJ152" s="399">
        <v>22733.39</v>
      </c>
      <c r="BK152" s="399">
        <v>168155.51</v>
      </c>
      <c r="BL152" s="399">
        <v>4950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176095.50331007323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573252.24680000008</v>
      </c>
      <c r="CJ152" s="399">
        <v>-160199.66235999996</v>
      </c>
      <c r="CK152" s="399"/>
      <c r="CL152" s="399"/>
      <c r="CM152" s="399"/>
      <c r="CN152" s="399"/>
      <c r="CO152" s="399">
        <v>-160198.59570000003</v>
      </c>
      <c r="CP152" s="399">
        <v>0</v>
      </c>
      <c r="CQ152" s="399"/>
      <c r="CR152" s="399">
        <v>-4927.8762013232335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-566.52553172368789</v>
      </c>
      <c r="DA152" s="399">
        <v>0</v>
      </c>
      <c r="DB152" s="399">
        <v>0</v>
      </c>
      <c r="DC152" s="399">
        <v>0</v>
      </c>
      <c r="DD152" s="399">
        <v>0</v>
      </c>
      <c r="DE152" s="399">
        <v>0</v>
      </c>
      <c r="DF152" s="399">
        <v>0</v>
      </c>
      <c r="DG152" s="399">
        <v>0</v>
      </c>
      <c r="DH152" s="399">
        <v>0</v>
      </c>
      <c r="DI152" s="399">
        <v>-3781.0260938385181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-518.4764154360364</v>
      </c>
      <c r="DP152" s="399">
        <v>-61.848160324875835</v>
      </c>
      <c r="DQ152" s="399">
        <v>0</v>
      </c>
      <c r="DR152" s="399">
        <v>0</v>
      </c>
      <c r="DS152" s="399"/>
      <c r="DT152" s="399"/>
      <c r="DU152" s="399"/>
      <c r="DV152" s="399">
        <v>359383.23098278762</v>
      </c>
      <c r="DW152" s="399">
        <v>0</v>
      </c>
      <c r="DX152" s="399">
        <v>0</v>
      </c>
      <c r="DY152" s="399">
        <v>-160198.59570000001</v>
      </c>
      <c r="DZ152" s="399">
        <v>0</v>
      </c>
      <c r="EA152" s="399">
        <v>0</v>
      </c>
      <c r="EB152" s="399">
        <v>0</v>
      </c>
      <c r="EC152" s="399">
        <v>-155260.52211303488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218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2360</v>
      </c>
      <c r="C153" s="399" t="s">
        <v>2328</v>
      </c>
      <c r="D153" s="399" t="s">
        <v>1823</v>
      </c>
      <c r="E153" s="399" t="s">
        <v>889</v>
      </c>
      <c r="F153" s="399" t="s">
        <v>889</v>
      </c>
      <c r="G153" s="399" t="s">
        <v>1239</v>
      </c>
      <c r="H153" s="399" t="s">
        <v>1239</v>
      </c>
      <c r="I153" s="399" t="s">
        <v>1239</v>
      </c>
      <c r="J153" s="399" t="s">
        <v>2329</v>
      </c>
      <c r="K153" s="789">
        <v>44531</v>
      </c>
      <c r="L153" s="399">
        <v>0</v>
      </c>
      <c r="M153" s="399">
        <v>0</v>
      </c>
      <c r="N153" s="399">
        <v>-29.439</v>
      </c>
      <c r="O153" s="399">
        <v>-29.439</v>
      </c>
      <c r="P153" s="399">
        <v>-29.439</v>
      </c>
      <c r="Q153" s="399">
        <v>-29.439</v>
      </c>
      <c r="R153" s="399"/>
      <c r="S153" s="399">
        <v>521.86</v>
      </c>
      <c r="T153" s="399">
        <v>141.32</v>
      </c>
      <c r="U153" s="399"/>
      <c r="V153" s="399">
        <v>-19523.356019999999</v>
      </c>
      <c r="W153" s="399">
        <v>-19523.356019999999</v>
      </c>
      <c r="X153" s="399">
        <v>-15259.11687</v>
      </c>
      <c r="Y153" s="399">
        <v>0</v>
      </c>
      <c r="Z153" s="399">
        <v>-1786.27145396685</v>
      </c>
      <c r="AA153" s="399">
        <v>0</v>
      </c>
      <c r="AB153" s="399">
        <v>0</v>
      </c>
      <c r="AC153" s="399">
        <v>0</v>
      </c>
      <c r="AD153" s="399">
        <v>-3166.2763836503746</v>
      </c>
      <c r="AE153" s="399">
        <v>-9566.2264498258392</v>
      </c>
      <c r="AF153" s="399">
        <v>-4160.2879812116362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-276.196472761395</v>
      </c>
      <c r="AM153" s="399"/>
      <c r="AN153" s="399">
        <v>-40.827968294842606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-527.10229254573187</v>
      </c>
      <c r="BH153" s="399">
        <v>0</v>
      </c>
      <c r="BI153" s="399">
        <v>-131.15</v>
      </c>
      <c r="BJ153" s="399">
        <v>-605.26</v>
      </c>
      <c r="BK153" s="399">
        <v>-6717.46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-4687.390273757368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-15259.635200000001</v>
      </c>
      <c r="CJ153" s="399">
        <v>4263.6908200000034</v>
      </c>
      <c r="CK153" s="399"/>
      <c r="CL153" s="399"/>
      <c r="CM153" s="399"/>
      <c r="CN153" s="399"/>
      <c r="CO153" s="399">
        <v>4264.2391500000003</v>
      </c>
      <c r="CP153" s="399">
        <v>0</v>
      </c>
      <c r="CQ153" s="399"/>
      <c r="CR153" s="399">
        <v>131.17245211928639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15.080034511505801</v>
      </c>
      <c r="DA153" s="399">
        <v>0</v>
      </c>
      <c r="DB153" s="399">
        <v>0</v>
      </c>
      <c r="DC153" s="399">
        <v>0</v>
      </c>
      <c r="DD153" s="399">
        <v>0</v>
      </c>
      <c r="DE153" s="399">
        <v>0</v>
      </c>
      <c r="DF153" s="399">
        <v>0</v>
      </c>
      <c r="DG153" s="399">
        <v>0</v>
      </c>
      <c r="DH153" s="399">
        <v>0</v>
      </c>
      <c r="DI153" s="399">
        <v>100.64507386014361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13.801041260026636</v>
      </c>
      <c r="DP153" s="399">
        <v>1.6463024876117132</v>
      </c>
      <c r="DQ153" s="399">
        <v>0</v>
      </c>
      <c r="DR153" s="399">
        <v>0</v>
      </c>
      <c r="DS153" s="399"/>
      <c r="DT153" s="399"/>
      <c r="DU153" s="399"/>
      <c r="DV153" s="399">
        <v>-9566.2264498258392</v>
      </c>
      <c r="DW153" s="399">
        <v>0</v>
      </c>
      <c r="DX153" s="399">
        <v>0</v>
      </c>
      <c r="DY153" s="399">
        <v>4264.2391500000012</v>
      </c>
      <c r="DZ153" s="399">
        <v>0</v>
      </c>
      <c r="EA153" s="399">
        <v>0</v>
      </c>
      <c r="EB153" s="399">
        <v>0</v>
      </c>
      <c r="EC153" s="399">
        <v>4132.7952592273823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218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2361</v>
      </c>
      <c r="C154" s="399" t="s">
        <v>2328</v>
      </c>
      <c r="D154" s="399" t="s">
        <v>1823</v>
      </c>
      <c r="E154" s="399" t="s">
        <v>889</v>
      </c>
      <c r="F154" s="399" t="s">
        <v>889</v>
      </c>
      <c r="G154" s="399" t="s">
        <v>1239</v>
      </c>
      <c r="H154" s="399" t="s">
        <v>1239</v>
      </c>
      <c r="I154" s="399" t="s">
        <v>1239</v>
      </c>
      <c r="J154" s="399" t="s">
        <v>2329</v>
      </c>
      <c r="K154" s="789">
        <v>44531</v>
      </c>
      <c r="L154" s="399">
        <v>0</v>
      </c>
      <c r="M154" s="399">
        <v>0</v>
      </c>
      <c r="N154" s="399">
        <v>9.93</v>
      </c>
      <c r="O154" s="399">
        <v>9.93</v>
      </c>
      <c r="P154" s="399">
        <v>9.93</v>
      </c>
      <c r="Q154" s="399">
        <v>9.93</v>
      </c>
      <c r="R154" s="399"/>
      <c r="S154" s="399">
        <v>521.86</v>
      </c>
      <c r="T154" s="399">
        <v>141.32</v>
      </c>
      <c r="U154" s="399"/>
      <c r="V154" s="399">
        <v>6585.3774000000003</v>
      </c>
      <c r="W154" s="399">
        <v>6585.3774000000003</v>
      </c>
      <c r="X154" s="399">
        <v>5147.0168999999996</v>
      </c>
      <c r="Y154" s="399">
        <v>0</v>
      </c>
      <c r="Z154" s="399">
        <v>602.52303196069226</v>
      </c>
      <c r="AA154" s="399">
        <v>0</v>
      </c>
      <c r="AB154" s="399">
        <v>0</v>
      </c>
      <c r="AC154" s="399">
        <v>0</v>
      </c>
      <c r="AD154" s="399">
        <v>1068.0092560769122</v>
      </c>
      <c r="AE154" s="399">
        <v>3226.7613929403374</v>
      </c>
      <c r="AF154" s="399">
        <v>1403.2969752176211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93.16318402529474</v>
      </c>
      <c r="AM154" s="399"/>
      <c r="AN154" s="399">
        <v>13.771586166914197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177.79563724919723</v>
      </c>
      <c r="BH154" s="399">
        <v>0</v>
      </c>
      <c r="BI154" s="399">
        <v>43.87</v>
      </c>
      <c r="BJ154" s="399">
        <v>203.61</v>
      </c>
      <c r="BK154" s="399">
        <v>6182.51</v>
      </c>
      <c r="BL154" s="399">
        <v>105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1581.0926124668183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5147.0168999999996</v>
      </c>
      <c r="CJ154" s="399">
        <v>-1438.3905000000013</v>
      </c>
      <c r="CK154" s="399"/>
      <c r="CL154" s="399"/>
      <c r="CM154" s="399"/>
      <c r="CN154" s="399"/>
      <c r="CO154" s="399">
        <v>-1438.3605000000002</v>
      </c>
      <c r="CP154" s="399">
        <v>0</v>
      </c>
      <c r="CQ154" s="399"/>
      <c r="CR154" s="399">
        <v>-44.245471977462785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-5.0866110499421211</v>
      </c>
      <c r="DA154" s="399">
        <v>0</v>
      </c>
      <c r="DB154" s="399">
        <v>0</v>
      </c>
      <c r="DC154" s="399">
        <v>0</v>
      </c>
      <c r="DD154" s="399">
        <v>0</v>
      </c>
      <c r="DE154" s="399">
        <v>0</v>
      </c>
      <c r="DF154" s="399">
        <v>0</v>
      </c>
      <c r="DG154" s="399">
        <v>0</v>
      </c>
      <c r="DH154" s="399">
        <v>0</v>
      </c>
      <c r="DI154" s="399">
        <v>-33.948353661171382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-4.6551968379382345</v>
      </c>
      <c r="DP154" s="399">
        <v>-0.55531042841075795</v>
      </c>
      <c r="DQ154" s="399">
        <v>0</v>
      </c>
      <c r="DR154" s="399">
        <v>0</v>
      </c>
      <c r="DS154" s="399"/>
      <c r="DT154" s="399"/>
      <c r="DU154" s="399"/>
      <c r="DV154" s="399">
        <v>3226.7613929403374</v>
      </c>
      <c r="DW154" s="399">
        <v>0</v>
      </c>
      <c r="DX154" s="399">
        <v>0</v>
      </c>
      <c r="DY154" s="399">
        <v>-1438.3605000000002</v>
      </c>
      <c r="DZ154" s="399">
        <v>0</v>
      </c>
      <c r="EA154" s="399">
        <v>0</v>
      </c>
      <c r="EB154" s="399">
        <v>0</v>
      </c>
      <c r="EC154" s="399">
        <v>-1394.0234696874186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218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2328</v>
      </c>
      <c r="D155" s="399" t="s">
        <v>1823</v>
      </c>
      <c r="E155" s="399" t="s">
        <v>889</v>
      </c>
      <c r="F155" s="399" t="s">
        <v>2330</v>
      </c>
      <c r="G155" s="399" t="s">
        <v>1239</v>
      </c>
      <c r="H155" s="399" t="s">
        <v>1239</v>
      </c>
      <c r="I155" s="399" t="s">
        <v>1239</v>
      </c>
      <c r="J155" s="399" t="s">
        <v>2329</v>
      </c>
      <c r="K155" s="789">
        <v>44531</v>
      </c>
      <c r="L155" s="399">
        <v>0</v>
      </c>
      <c r="M155" s="399">
        <v>0</v>
      </c>
      <c r="N155" s="399">
        <v>1.1399999999999999</v>
      </c>
      <c r="O155" s="399">
        <v>1.1399999999999999</v>
      </c>
      <c r="P155" s="399">
        <v>1.1399999999999999</v>
      </c>
      <c r="Q155" s="399">
        <v>1.1399999999999999</v>
      </c>
      <c r="R155" s="399"/>
      <c r="S155" s="399">
        <v>451.8</v>
      </c>
      <c r="T155" s="399">
        <v>141.32</v>
      </c>
      <c r="U155" s="399"/>
      <c r="V155" s="399">
        <v>676.15679999999998</v>
      </c>
      <c r="W155" s="399">
        <v>676.15679999999998</v>
      </c>
      <c r="X155" s="399">
        <v>515.46239999999989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122.61133453450954</v>
      </c>
      <c r="AE155" s="399">
        <v>370.44390613816557</v>
      </c>
      <c r="AF155" s="399">
        <v>161.10358023646404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1.5810280191623547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20.411583732536236</v>
      </c>
      <c r="BH155" s="399">
        <v>0</v>
      </c>
      <c r="BI155" s="399">
        <v>3.8</v>
      </c>
      <c r="BJ155" s="399">
        <v>18.25</v>
      </c>
      <c r="BK155" s="399">
        <v>27.36</v>
      </c>
      <c r="BL155" s="399">
        <v>1</v>
      </c>
      <c r="BM155" s="399"/>
      <c r="BN155" s="399"/>
      <c r="BO155" s="399"/>
      <c r="BP155" s="399"/>
      <c r="BQ155" s="399"/>
      <c r="BR155" s="399"/>
      <c r="BS155" s="399"/>
      <c r="BT155" s="399">
        <v>335.04599999999994</v>
      </c>
      <c r="BU155" s="399"/>
      <c r="BV155" s="399">
        <v>181.51516396900027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180.41639999999998</v>
      </c>
      <c r="CJ155" s="399">
        <v>-56.266199999999969</v>
      </c>
      <c r="CK155" s="399"/>
      <c r="CL155" s="399"/>
      <c r="CM155" s="399"/>
      <c r="CN155" s="399"/>
      <c r="CO155" s="399">
        <v>-160.69440000000003</v>
      </c>
      <c r="CP155" s="399">
        <v>0</v>
      </c>
      <c r="CQ155" s="399"/>
      <c r="CR155" s="399">
        <v>-0.64771303981092387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-0.58396138941934339</v>
      </c>
      <c r="DA155" s="399">
        <v>0</v>
      </c>
      <c r="DB155" s="399">
        <v>0</v>
      </c>
      <c r="DC155" s="399">
        <v>0</v>
      </c>
      <c r="DD155" s="399">
        <v>0</v>
      </c>
      <c r="DE155" s="399">
        <v>0</v>
      </c>
      <c r="DF155" s="399">
        <v>0</v>
      </c>
      <c r="DG155" s="399">
        <v>0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</v>
      </c>
      <c r="DP155" s="399">
        <v>-6.3751650391567161E-2</v>
      </c>
      <c r="DQ155" s="399">
        <v>0</v>
      </c>
      <c r="DR155" s="399">
        <v>0</v>
      </c>
      <c r="DS155" s="399"/>
      <c r="DT155" s="399"/>
      <c r="DU155" s="399"/>
      <c r="DV155" s="399">
        <v>370.44390613816557</v>
      </c>
      <c r="DW155" s="399">
        <v>0</v>
      </c>
      <c r="DX155" s="399">
        <v>0</v>
      </c>
      <c r="DY155" s="399">
        <v>-160.69440000000009</v>
      </c>
      <c r="DZ155" s="399">
        <v>0</v>
      </c>
      <c r="EA155" s="399">
        <v>0</v>
      </c>
      <c r="EB155" s="399">
        <v>0</v>
      </c>
      <c r="EC155" s="399">
        <v>-160.03894818163715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218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956</v>
      </c>
      <c r="C156" s="399" t="s">
        <v>2328</v>
      </c>
      <c r="D156" s="399" t="s">
        <v>1823</v>
      </c>
      <c r="E156" s="399" t="s">
        <v>889</v>
      </c>
      <c r="F156" s="399" t="s">
        <v>2331</v>
      </c>
      <c r="G156" s="399" t="s">
        <v>1239</v>
      </c>
      <c r="H156" s="399" t="s">
        <v>1239</v>
      </c>
      <c r="I156" s="399" t="s">
        <v>1239</v>
      </c>
      <c r="J156" s="399" t="s">
        <v>2329</v>
      </c>
      <c r="K156" s="789">
        <v>44531</v>
      </c>
      <c r="L156" s="399">
        <v>0</v>
      </c>
      <c r="M156" s="399">
        <v>0</v>
      </c>
      <c r="N156" s="399">
        <v>2.444</v>
      </c>
      <c r="O156" s="399">
        <v>2.444</v>
      </c>
      <c r="P156" s="399">
        <v>2.444</v>
      </c>
      <c r="Q156" s="399">
        <v>2.444</v>
      </c>
      <c r="R156" s="399"/>
      <c r="S156" s="399">
        <v>451.8</v>
      </c>
      <c r="T156" s="399">
        <v>141.32</v>
      </c>
      <c r="U156" s="399"/>
      <c r="V156" s="399">
        <v>1449.58528</v>
      </c>
      <c r="W156" s="399">
        <v>1449.58528</v>
      </c>
      <c r="X156" s="399">
        <v>1105.0790400000001</v>
      </c>
      <c r="Y156" s="399">
        <v>0</v>
      </c>
      <c r="Z156" s="399">
        <v>0</v>
      </c>
      <c r="AA156" s="399">
        <v>0</v>
      </c>
      <c r="AB156" s="399">
        <v>0</v>
      </c>
      <c r="AC156" s="399">
        <v>0</v>
      </c>
      <c r="AD156" s="399">
        <v>262.86149263363274</v>
      </c>
      <c r="AE156" s="399">
        <v>794.17974263304973</v>
      </c>
      <c r="AF156" s="399">
        <v>345.38346499817379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</v>
      </c>
      <c r="AM156" s="399"/>
      <c r="AN156" s="399">
        <v>3.3895021744147327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43.759570738875937</v>
      </c>
      <c r="BH156" s="399">
        <v>0</v>
      </c>
      <c r="BI156" s="399">
        <v>8.43</v>
      </c>
      <c r="BJ156" s="399">
        <v>39.83</v>
      </c>
      <c r="BK156" s="399">
        <v>97.18</v>
      </c>
      <c r="BL156" s="399">
        <v>3</v>
      </c>
      <c r="BM156" s="399"/>
      <c r="BN156" s="399"/>
      <c r="BO156" s="399"/>
      <c r="BP156" s="399"/>
      <c r="BQ156" s="399"/>
      <c r="BR156" s="399"/>
      <c r="BS156" s="399"/>
      <c r="BT156" s="399">
        <v>442.02183999999988</v>
      </c>
      <c r="BU156" s="399"/>
      <c r="BV156" s="399">
        <v>389.14303573704973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661.97199999999998</v>
      </c>
      <c r="CJ156" s="399">
        <v>-207.80427999999995</v>
      </c>
      <c r="CK156" s="399"/>
      <c r="CL156" s="399"/>
      <c r="CM156" s="399"/>
      <c r="CN156" s="399"/>
      <c r="CO156" s="399">
        <v>-344.5062400000001</v>
      </c>
      <c r="CP156" s="399">
        <v>0</v>
      </c>
      <c r="CQ156" s="399"/>
      <c r="CR156" s="399">
        <v>-1.3886058502612286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-1.2519312594217809</v>
      </c>
      <c r="DA156" s="399">
        <v>0</v>
      </c>
      <c r="DB156" s="399">
        <v>0</v>
      </c>
      <c r="DC156" s="399">
        <v>0</v>
      </c>
      <c r="DD156" s="399">
        <v>0</v>
      </c>
      <c r="DE156" s="399">
        <v>0</v>
      </c>
      <c r="DF156" s="399">
        <v>0</v>
      </c>
      <c r="DG156" s="399">
        <v>0</v>
      </c>
      <c r="DH156" s="399">
        <v>0</v>
      </c>
      <c r="DI156" s="399">
        <v>0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0</v>
      </c>
      <c r="DP156" s="399">
        <v>-0.13667459083946509</v>
      </c>
      <c r="DQ156" s="399">
        <v>0</v>
      </c>
      <c r="DR156" s="399">
        <v>0</v>
      </c>
      <c r="DS156" s="399"/>
      <c r="DT156" s="399"/>
      <c r="DU156" s="399"/>
      <c r="DV156" s="399">
        <v>794.17974263304973</v>
      </c>
      <c r="DW156" s="399">
        <v>0</v>
      </c>
      <c r="DX156" s="399">
        <v>0</v>
      </c>
      <c r="DY156" s="399">
        <v>-344.50624000000005</v>
      </c>
      <c r="DZ156" s="399">
        <v>0</v>
      </c>
      <c r="EA156" s="399">
        <v>0</v>
      </c>
      <c r="EB156" s="399">
        <v>0</v>
      </c>
      <c r="EC156" s="399">
        <v>-343.1010432946677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218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956</v>
      </c>
      <c r="C157" s="399" t="s">
        <v>2328</v>
      </c>
      <c r="D157" s="399" t="s">
        <v>1823</v>
      </c>
      <c r="E157" s="399" t="s">
        <v>889</v>
      </c>
      <c r="F157" s="399" t="s">
        <v>2332</v>
      </c>
      <c r="G157" s="399" t="s">
        <v>1239</v>
      </c>
      <c r="H157" s="399" t="s">
        <v>1239</v>
      </c>
      <c r="I157" s="399" t="s">
        <v>1239</v>
      </c>
      <c r="J157" s="399" t="s">
        <v>2329</v>
      </c>
      <c r="K157" s="789">
        <v>44531</v>
      </c>
      <c r="L157" s="399">
        <v>0</v>
      </c>
      <c r="M157" s="399">
        <v>0</v>
      </c>
      <c r="N157" s="399">
        <v>2.601</v>
      </c>
      <c r="O157" s="399">
        <v>2.601</v>
      </c>
      <c r="P157" s="399">
        <v>2.601</v>
      </c>
      <c r="Q157" s="399">
        <v>2.601</v>
      </c>
      <c r="R157" s="399"/>
      <c r="S157" s="399">
        <v>451.8</v>
      </c>
      <c r="T157" s="399">
        <v>141.32</v>
      </c>
      <c r="U157" s="399"/>
      <c r="V157" s="399">
        <v>1542.7051200000001</v>
      </c>
      <c r="W157" s="399">
        <v>1542.7051200000001</v>
      </c>
      <c r="X157" s="399">
        <v>1176.0681599999998</v>
      </c>
      <c r="Y157" s="399">
        <v>0</v>
      </c>
      <c r="Z157" s="399">
        <v>0</v>
      </c>
      <c r="AA157" s="399">
        <v>0</v>
      </c>
      <c r="AB157" s="399">
        <v>0</v>
      </c>
      <c r="AC157" s="399">
        <v>0</v>
      </c>
      <c r="AD157" s="399">
        <v>279.74743958268363</v>
      </c>
      <c r="AE157" s="399">
        <v>845.19701742576206</v>
      </c>
      <c r="AF157" s="399">
        <v>367.57053701319563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0</v>
      </c>
      <c r="AM157" s="399"/>
      <c r="AN157" s="399">
        <v>3.6072402437204256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46.570639726602415</v>
      </c>
      <c r="BH157" s="399">
        <v>0</v>
      </c>
      <c r="BI157" s="399">
        <v>9.3699999999999992</v>
      </c>
      <c r="BJ157" s="399">
        <v>43.44</v>
      </c>
      <c r="BK157" s="399">
        <v>255.92</v>
      </c>
      <c r="BL157" s="399">
        <v>23</v>
      </c>
      <c r="BM157" s="399"/>
      <c r="BN157" s="399"/>
      <c r="BO157" s="399"/>
      <c r="BP157" s="399"/>
      <c r="BQ157" s="399"/>
      <c r="BR157" s="399"/>
      <c r="BS157" s="399"/>
      <c r="BT157" s="399">
        <v>117.59120999999993</v>
      </c>
      <c r="BU157" s="399"/>
      <c r="BV157" s="399">
        <v>414.14117673979803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1058.07</v>
      </c>
      <c r="CJ157" s="399">
        <v>-330.39980999999989</v>
      </c>
      <c r="CK157" s="399"/>
      <c r="CL157" s="399"/>
      <c r="CM157" s="399"/>
      <c r="CN157" s="399"/>
      <c r="CO157" s="399">
        <v>-366.6369600000001</v>
      </c>
      <c r="CP157" s="399">
        <v>0</v>
      </c>
      <c r="CQ157" s="399"/>
      <c r="CR157" s="399">
        <v>-1.4778084355685905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-1.3323540121751876</v>
      </c>
      <c r="DA157" s="399">
        <v>0</v>
      </c>
      <c r="DB157" s="399">
        <v>0</v>
      </c>
      <c r="DC157" s="399">
        <v>0</v>
      </c>
      <c r="DD157" s="399">
        <v>0</v>
      </c>
      <c r="DE157" s="399">
        <v>0</v>
      </c>
      <c r="DF157" s="399">
        <v>0</v>
      </c>
      <c r="DG157" s="399">
        <v>0</v>
      </c>
      <c r="DH157" s="399">
        <v>0</v>
      </c>
      <c r="DI157" s="399">
        <v>0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0</v>
      </c>
      <c r="DP157" s="399">
        <v>-0.14545442339339143</v>
      </c>
      <c r="DQ157" s="399">
        <v>0</v>
      </c>
      <c r="DR157" s="399">
        <v>0</v>
      </c>
      <c r="DS157" s="399"/>
      <c r="DT157" s="399"/>
      <c r="DU157" s="399"/>
      <c r="DV157" s="399">
        <v>845.19701742576206</v>
      </c>
      <c r="DW157" s="399">
        <v>0</v>
      </c>
      <c r="DX157" s="399">
        <v>0</v>
      </c>
      <c r="DY157" s="399">
        <v>-366.63696000000016</v>
      </c>
      <c r="DZ157" s="399">
        <v>0</v>
      </c>
      <c r="EA157" s="399">
        <v>0</v>
      </c>
      <c r="EB157" s="399">
        <v>0</v>
      </c>
      <c r="EC157" s="399">
        <v>-365.14149493020898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218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2328</v>
      </c>
      <c r="D158" s="399" t="s">
        <v>1823</v>
      </c>
      <c r="E158" s="399" t="s">
        <v>889</v>
      </c>
      <c r="F158" s="399" t="s">
        <v>2333</v>
      </c>
      <c r="G158" s="399" t="s">
        <v>1239</v>
      </c>
      <c r="H158" s="399" t="s">
        <v>1239</v>
      </c>
      <c r="I158" s="399" t="s">
        <v>1239</v>
      </c>
      <c r="J158" s="399" t="s">
        <v>2329</v>
      </c>
      <c r="K158" s="789">
        <v>44531</v>
      </c>
      <c r="L158" s="399">
        <v>0</v>
      </c>
      <c r="M158" s="399">
        <v>0</v>
      </c>
      <c r="N158" s="399">
        <v>1.2829999999999999</v>
      </c>
      <c r="O158" s="399">
        <v>1.2829999999999999</v>
      </c>
      <c r="P158" s="399">
        <v>1.2829999999999999</v>
      </c>
      <c r="Q158" s="399">
        <v>1.2829999999999999</v>
      </c>
      <c r="R158" s="399"/>
      <c r="S158" s="399">
        <v>451.8</v>
      </c>
      <c r="T158" s="399">
        <v>141.32</v>
      </c>
      <c r="U158" s="399"/>
      <c r="V158" s="399">
        <v>760.97295999999994</v>
      </c>
      <c r="W158" s="399">
        <v>760.97295999999994</v>
      </c>
      <c r="X158" s="399">
        <v>580.12127999999996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137.99152825243488</v>
      </c>
      <c r="AE158" s="399">
        <v>416.91186980286528</v>
      </c>
      <c r="AF158" s="399">
        <v>181.31218723103805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/>
      <c r="AN158" s="399">
        <v>1.779349954899387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22.971984148108763</v>
      </c>
      <c r="BH158" s="399">
        <v>0</v>
      </c>
      <c r="BI158" s="399">
        <v>4.91</v>
      </c>
      <c r="BJ158" s="399">
        <v>21.98</v>
      </c>
      <c r="BK158" s="399">
        <v>209.56</v>
      </c>
      <c r="BL158" s="399">
        <v>11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204.28417137914681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578.76479999999992</v>
      </c>
      <c r="CJ158" s="399">
        <v>-182.23815999999999</v>
      </c>
      <c r="CK158" s="399"/>
      <c r="CL158" s="399"/>
      <c r="CM158" s="399"/>
      <c r="CN158" s="399"/>
      <c r="CO158" s="399">
        <v>-180.85168000000004</v>
      </c>
      <c r="CP158" s="399">
        <v>0</v>
      </c>
      <c r="CQ158" s="399"/>
      <c r="CR158" s="399">
        <v>-0.72896125445384996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-0.65721268651319065</v>
      </c>
      <c r="DA158" s="399">
        <v>0</v>
      </c>
      <c r="DB158" s="399">
        <v>0</v>
      </c>
      <c r="DC158" s="399">
        <v>0</v>
      </c>
      <c r="DD158" s="399">
        <v>0</v>
      </c>
      <c r="DE158" s="399">
        <v>0</v>
      </c>
      <c r="DF158" s="399">
        <v>0</v>
      </c>
      <c r="DG158" s="399">
        <v>0</v>
      </c>
      <c r="DH158" s="399">
        <v>0</v>
      </c>
      <c r="DI158" s="399">
        <v>0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0</v>
      </c>
      <c r="DP158" s="399">
        <v>-7.1748567940684849E-2</v>
      </c>
      <c r="DQ158" s="399">
        <v>0</v>
      </c>
      <c r="DR158" s="399">
        <v>0</v>
      </c>
      <c r="DS158" s="399"/>
      <c r="DT158" s="399"/>
      <c r="DU158" s="399"/>
      <c r="DV158" s="399">
        <v>416.91186980286528</v>
      </c>
      <c r="DW158" s="399">
        <v>0</v>
      </c>
      <c r="DX158" s="399">
        <v>0</v>
      </c>
      <c r="DY158" s="399">
        <v>-180.85168000000004</v>
      </c>
      <c r="DZ158" s="399">
        <v>0</v>
      </c>
      <c r="EA158" s="399">
        <v>0</v>
      </c>
      <c r="EB158" s="399">
        <v>0</v>
      </c>
      <c r="EC158" s="399">
        <v>-180.11400922547406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218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2328</v>
      </c>
      <c r="D159" s="399" t="s">
        <v>1826</v>
      </c>
      <c r="E159" s="399" t="s">
        <v>890</v>
      </c>
      <c r="F159" s="399" t="s">
        <v>1239</v>
      </c>
      <c r="G159" s="399" t="s">
        <v>1239</v>
      </c>
      <c r="H159" s="399" t="s">
        <v>1239</v>
      </c>
      <c r="I159" s="399" t="s">
        <v>1239</v>
      </c>
      <c r="J159" s="399" t="s">
        <v>2329</v>
      </c>
      <c r="K159" s="789">
        <v>44531</v>
      </c>
      <c r="L159" s="399">
        <v>0</v>
      </c>
      <c r="M159" s="399">
        <v>0</v>
      </c>
      <c r="N159" s="399">
        <v>157.71600000000001</v>
      </c>
      <c r="O159" s="399">
        <v>157.71600000000001</v>
      </c>
      <c r="P159" s="399">
        <v>157.71600000000001</v>
      </c>
      <c r="Q159" s="399">
        <v>157.71600000000001</v>
      </c>
      <c r="R159" s="399"/>
      <c r="S159" s="399">
        <v>521.86</v>
      </c>
      <c r="T159" s="399">
        <v>141.32</v>
      </c>
      <c r="U159" s="399"/>
      <c r="V159" s="399">
        <v>104594.09688000001</v>
      </c>
      <c r="W159" s="399">
        <v>104594.09688000001</v>
      </c>
      <c r="X159" s="399">
        <v>81748.934280000001</v>
      </c>
      <c r="Y159" s="399">
        <v>0</v>
      </c>
      <c r="Z159" s="399">
        <v>9569.7404339086152</v>
      </c>
      <c r="AA159" s="399">
        <v>0</v>
      </c>
      <c r="AB159" s="399">
        <v>0</v>
      </c>
      <c r="AC159" s="399">
        <v>0</v>
      </c>
      <c r="AD159" s="399">
        <v>16962.955471442729</v>
      </c>
      <c r="AE159" s="399">
        <v>51249.939561830644</v>
      </c>
      <c r="AF159" s="399">
        <v>22288.256368924707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1479.6903053105123</v>
      </c>
      <c r="AM159" s="399"/>
      <c r="AN159" s="399">
        <v>218.73106585106137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2823.8888947023556</v>
      </c>
      <c r="BH159" s="399">
        <v>0</v>
      </c>
      <c r="BI159" s="399">
        <v>701.83</v>
      </c>
      <c r="BJ159" s="399">
        <v>3242.69</v>
      </c>
      <c r="BK159" s="399">
        <v>35967.410000000003</v>
      </c>
      <c r="BL159" s="399">
        <v>145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25112.145263627062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81751.007599999997</v>
      </c>
      <c r="CJ159" s="399">
        <v>-22843.119279999999</v>
      </c>
      <c r="CK159" s="399"/>
      <c r="CL159" s="399"/>
      <c r="CM159" s="399"/>
      <c r="CN159" s="399"/>
      <c r="CO159" s="399">
        <v>-22845.162600000003</v>
      </c>
      <c r="CP159" s="399">
        <v>0</v>
      </c>
      <c r="CQ159" s="399"/>
      <c r="CR159" s="399">
        <v>-702.74107335322333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-80.789521485668956</v>
      </c>
      <c r="DA159" s="399">
        <v>0</v>
      </c>
      <c r="DB159" s="399">
        <v>0</v>
      </c>
      <c r="DC159" s="399">
        <v>0</v>
      </c>
      <c r="DD159" s="399">
        <v>0</v>
      </c>
      <c r="DE159" s="399">
        <v>0</v>
      </c>
      <c r="DF159" s="399">
        <v>0</v>
      </c>
      <c r="DG159" s="399">
        <v>0</v>
      </c>
      <c r="DH159" s="399">
        <v>0</v>
      </c>
      <c r="DI159" s="399">
        <v>-539.1942141012405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-73.937464702141824</v>
      </c>
      <c r="DP159" s="399">
        <v>-8.8198730641722705</v>
      </c>
      <c r="DQ159" s="399">
        <v>0</v>
      </c>
      <c r="DR159" s="399">
        <v>0</v>
      </c>
      <c r="DS159" s="399"/>
      <c r="DT159" s="399"/>
      <c r="DU159" s="399"/>
      <c r="DV159" s="399">
        <v>51249.939561830644</v>
      </c>
      <c r="DW159" s="399">
        <v>0</v>
      </c>
      <c r="DX159" s="399">
        <v>0</v>
      </c>
      <c r="DY159" s="399">
        <v>-22845.162600000011</v>
      </c>
      <c r="DZ159" s="399">
        <v>0</v>
      </c>
      <c r="EA159" s="399">
        <v>0</v>
      </c>
      <c r="EB159" s="399">
        <v>0</v>
      </c>
      <c r="EC159" s="399">
        <v>-22140.967325802714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218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2361</v>
      </c>
      <c r="C160" s="399" t="s">
        <v>2328</v>
      </c>
      <c r="D160" s="399" t="s">
        <v>1826</v>
      </c>
      <c r="E160" s="399" t="s">
        <v>890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2329</v>
      </c>
      <c r="K160" s="789">
        <v>44531</v>
      </c>
      <c r="L160" s="399">
        <v>0</v>
      </c>
      <c r="M160" s="399">
        <v>0</v>
      </c>
      <c r="N160" s="399">
        <v>3.4830000000000001</v>
      </c>
      <c r="O160" s="399">
        <v>3.4830000000000001</v>
      </c>
      <c r="P160" s="399">
        <v>3.4830000000000001</v>
      </c>
      <c r="Q160" s="399">
        <v>3.4830000000000001</v>
      </c>
      <c r="R160" s="399"/>
      <c r="S160" s="399">
        <v>521.86</v>
      </c>
      <c r="T160" s="399">
        <v>141.32</v>
      </c>
      <c r="U160" s="399"/>
      <c r="V160" s="399">
        <v>2309.8559399999999</v>
      </c>
      <c r="W160" s="399">
        <v>2309.8559399999999</v>
      </c>
      <c r="X160" s="399">
        <v>1805.34339</v>
      </c>
      <c r="Y160" s="399">
        <v>0</v>
      </c>
      <c r="Z160" s="399">
        <v>211.33813900494374</v>
      </c>
      <c r="AA160" s="399">
        <v>0</v>
      </c>
      <c r="AB160" s="399">
        <v>0</v>
      </c>
      <c r="AC160" s="399">
        <v>0</v>
      </c>
      <c r="AD160" s="399">
        <v>374.60989314359369</v>
      </c>
      <c r="AE160" s="399">
        <v>1131.8036184905534</v>
      </c>
      <c r="AF160" s="399">
        <v>492.21383330140731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32.677479351470453</v>
      </c>
      <c r="AM160" s="399"/>
      <c r="AN160" s="399">
        <v>4.8304566585460371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62.362759772301509</v>
      </c>
      <c r="BH160" s="399">
        <v>0</v>
      </c>
      <c r="BI160" s="399">
        <v>15.46</v>
      </c>
      <c r="BJ160" s="399">
        <v>71.64</v>
      </c>
      <c r="BK160" s="399">
        <v>3138.81</v>
      </c>
      <c r="BL160" s="399">
        <v>10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554.57659307370886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1803.7883999999999</v>
      </c>
      <c r="CJ160" s="399">
        <v>-506.09754000000021</v>
      </c>
      <c r="CK160" s="399"/>
      <c r="CL160" s="399"/>
      <c r="CM160" s="399"/>
      <c r="CN160" s="399"/>
      <c r="CO160" s="399">
        <v>-504.51255000000009</v>
      </c>
      <c r="CP160" s="399">
        <v>0</v>
      </c>
      <c r="CQ160" s="399"/>
      <c r="CR160" s="399">
        <v>-15.519333222306386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-1.7841557187259696</v>
      </c>
      <c r="DA160" s="399">
        <v>0</v>
      </c>
      <c r="DB160" s="399">
        <v>0</v>
      </c>
      <c r="DC160" s="399">
        <v>0</v>
      </c>
      <c r="DD160" s="399">
        <v>0</v>
      </c>
      <c r="DE160" s="399">
        <v>0</v>
      </c>
      <c r="DF160" s="399">
        <v>0</v>
      </c>
      <c r="DG160" s="399">
        <v>0</v>
      </c>
      <c r="DH160" s="399">
        <v>0</v>
      </c>
      <c r="DI160" s="399">
        <v>-11.907564531909372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-1.6328349029747109</v>
      </c>
      <c r="DP160" s="399">
        <v>-0.19477806869634051</v>
      </c>
      <c r="DQ160" s="399">
        <v>0</v>
      </c>
      <c r="DR160" s="399">
        <v>0</v>
      </c>
      <c r="DS160" s="399"/>
      <c r="DT160" s="399"/>
      <c r="DU160" s="399"/>
      <c r="DV160" s="399">
        <v>1131.8036184905534</v>
      </c>
      <c r="DW160" s="399">
        <v>0</v>
      </c>
      <c r="DX160" s="399">
        <v>0</v>
      </c>
      <c r="DY160" s="399">
        <v>-504.51255000000015</v>
      </c>
      <c r="DZ160" s="399">
        <v>0</v>
      </c>
      <c r="EA160" s="399">
        <v>0</v>
      </c>
      <c r="EB160" s="399">
        <v>0</v>
      </c>
      <c r="EC160" s="399">
        <v>-488.96110220758089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218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2334</v>
      </c>
      <c r="D161" s="399" t="s">
        <v>533</v>
      </c>
      <c r="E161" s="399" t="s">
        <v>890</v>
      </c>
      <c r="F161" s="399" t="s">
        <v>1239</v>
      </c>
      <c r="G161" s="399" t="s">
        <v>1239</v>
      </c>
      <c r="H161" s="399" t="s">
        <v>1239</v>
      </c>
      <c r="I161" s="399" t="s">
        <v>893</v>
      </c>
      <c r="J161" s="399" t="s">
        <v>2329</v>
      </c>
      <c r="K161" s="789">
        <v>44531</v>
      </c>
      <c r="L161" s="399">
        <v>0</v>
      </c>
      <c r="M161" s="399">
        <v>0</v>
      </c>
      <c r="N161" s="399">
        <v>64.216999999999999</v>
      </c>
      <c r="O161" s="399">
        <v>64.216999999999999</v>
      </c>
      <c r="P161" s="399">
        <v>64.216999999999999</v>
      </c>
      <c r="Q161" s="399">
        <v>64.216999999999999</v>
      </c>
      <c r="R161" s="399"/>
      <c r="S161" s="399">
        <v>2741.05</v>
      </c>
      <c r="T161" s="399">
        <v>141.32</v>
      </c>
      <c r="U161" s="399"/>
      <c r="V161" s="399">
        <v>185097.15429000001</v>
      </c>
      <c r="W161" s="399">
        <v>185097.15429000001</v>
      </c>
      <c r="X161" s="399">
        <v>132536.18195999999</v>
      </c>
      <c r="Y161" s="399">
        <v>0</v>
      </c>
      <c r="Z161" s="399">
        <v>3389.9529448917633</v>
      </c>
      <c r="AA161" s="399">
        <v>0</v>
      </c>
      <c r="AB161" s="399">
        <v>0</v>
      </c>
      <c r="AC161" s="399">
        <v>0</v>
      </c>
      <c r="AD161" s="399">
        <v>50960.137505163671</v>
      </c>
      <c r="AE161" s="399">
        <v>120587.24363067679</v>
      </c>
      <c r="AF161" s="399">
        <v>9075.077729864046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602.48340267395292</v>
      </c>
      <c r="AM161" s="399"/>
      <c r="AN161" s="399">
        <v>38.577875499225051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443.92945116916979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9519.0071810332156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132542.37359999999</v>
      </c>
      <c r="CJ161" s="399">
        <v>-52554.810690000042</v>
      </c>
      <c r="CK161" s="399"/>
      <c r="CL161" s="399"/>
      <c r="CM161" s="399"/>
      <c r="CN161" s="399"/>
      <c r="CO161" s="399">
        <v>-52560.972330000011</v>
      </c>
      <c r="CP161" s="399">
        <v>0</v>
      </c>
      <c r="CQ161" s="399"/>
      <c r="CR161" s="399">
        <v>-465.37095300608053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-242.70800750609487</v>
      </c>
      <c r="DA161" s="399">
        <v>0</v>
      </c>
      <c r="DB161" s="399">
        <v>0</v>
      </c>
      <c r="DC161" s="399">
        <v>0</v>
      </c>
      <c r="DD161" s="399">
        <v>0</v>
      </c>
      <c r="DE161" s="399">
        <v>0</v>
      </c>
      <c r="DF161" s="399">
        <v>0</v>
      </c>
      <c r="DG161" s="399">
        <v>0</v>
      </c>
      <c r="DH161" s="399">
        <v>0</v>
      </c>
      <c r="DI161" s="399">
        <v>-191.00236067893047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-30.105012622545814</v>
      </c>
      <c r="DP161" s="399">
        <v>-1.5555721985112569</v>
      </c>
      <c r="DQ161" s="399">
        <v>0</v>
      </c>
      <c r="DR161" s="399">
        <v>0</v>
      </c>
      <c r="DS161" s="399"/>
      <c r="DT161" s="399"/>
      <c r="DU161" s="399"/>
      <c r="DV161" s="399">
        <v>120587.24363067679</v>
      </c>
      <c r="DW161" s="399">
        <v>0</v>
      </c>
      <c r="DX161" s="399">
        <v>0</v>
      </c>
      <c r="DY161" s="399">
        <v>-52560.972330000004</v>
      </c>
      <c r="DZ161" s="399">
        <v>0</v>
      </c>
      <c r="EA161" s="399">
        <v>0</v>
      </c>
      <c r="EB161" s="399">
        <v>0</v>
      </c>
      <c r="EC161" s="399">
        <v>-52096.026726320459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218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2361</v>
      </c>
      <c r="C162" s="399" t="s">
        <v>2334</v>
      </c>
      <c r="D162" s="399" t="s">
        <v>533</v>
      </c>
      <c r="E162" s="399" t="s">
        <v>890</v>
      </c>
      <c r="F162" s="399" t="s">
        <v>1239</v>
      </c>
      <c r="G162" s="399" t="s">
        <v>1239</v>
      </c>
      <c r="H162" s="399" t="s">
        <v>1239</v>
      </c>
      <c r="I162" s="399" t="s">
        <v>893</v>
      </c>
      <c r="J162" s="399" t="s">
        <v>2329</v>
      </c>
      <c r="K162" s="789">
        <v>44531</v>
      </c>
      <c r="L162" s="399">
        <v>0</v>
      </c>
      <c r="M162" s="399">
        <v>0</v>
      </c>
      <c r="N162" s="399">
        <v>0.17199999999999999</v>
      </c>
      <c r="O162" s="399">
        <v>0.17199999999999999</v>
      </c>
      <c r="P162" s="399">
        <v>0.17199999999999999</v>
      </c>
      <c r="Q162" s="399">
        <v>0.17199999999999999</v>
      </c>
      <c r="R162" s="399"/>
      <c r="S162" s="399">
        <v>2741.05</v>
      </c>
      <c r="T162" s="399">
        <v>141.32</v>
      </c>
      <c r="U162" s="399"/>
      <c r="V162" s="399">
        <v>495.76763999999997</v>
      </c>
      <c r="W162" s="399">
        <v>495.76763999999997</v>
      </c>
      <c r="X162" s="399">
        <v>354.98735999999991</v>
      </c>
      <c r="Y162" s="399">
        <v>0</v>
      </c>
      <c r="Z162" s="399">
        <v>9.0797126387309177</v>
      </c>
      <c r="AA162" s="399">
        <v>0</v>
      </c>
      <c r="AB162" s="399">
        <v>0</v>
      </c>
      <c r="AC162" s="399">
        <v>0</v>
      </c>
      <c r="AD162" s="399">
        <v>136.49257441001839</v>
      </c>
      <c r="AE162" s="399">
        <v>322.98310267493662</v>
      </c>
      <c r="AF162" s="399">
        <v>24.306855965501594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1.6137026840232322</v>
      </c>
      <c r="AM162" s="399"/>
      <c r="AN162" s="399">
        <v>0.10332769493851642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1.1890288490757464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25.495884814577341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350.8596</v>
      </c>
      <c r="CJ162" s="399">
        <v>-144.93803999999994</v>
      </c>
      <c r="CK162" s="399"/>
      <c r="CL162" s="399"/>
      <c r="CM162" s="399"/>
      <c r="CN162" s="399"/>
      <c r="CO162" s="399">
        <v>-140.78028000000003</v>
      </c>
      <c r="CP162" s="399">
        <v>0</v>
      </c>
      <c r="CQ162" s="399"/>
      <c r="CR162" s="399">
        <v>-1.246458163991548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-0.65007361432404309</v>
      </c>
      <c r="DA162" s="399">
        <v>0</v>
      </c>
      <c r="DB162" s="399">
        <v>0</v>
      </c>
      <c r="DC162" s="399">
        <v>0</v>
      </c>
      <c r="DD162" s="399">
        <v>0</v>
      </c>
      <c r="DE162" s="399">
        <v>0</v>
      </c>
      <c r="DF162" s="399">
        <v>0</v>
      </c>
      <c r="DG162" s="399">
        <v>0</v>
      </c>
      <c r="DH162" s="399">
        <v>0</v>
      </c>
      <c r="DI162" s="399">
        <v>-0.51158425396353202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-8.0633822369121644E-2</v>
      </c>
      <c r="DP162" s="399">
        <v>-4.1664733348480282E-3</v>
      </c>
      <c r="DQ162" s="399">
        <v>0</v>
      </c>
      <c r="DR162" s="399">
        <v>0</v>
      </c>
      <c r="DS162" s="399"/>
      <c r="DT162" s="399"/>
      <c r="DU162" s="399"/>
      <c r="DV162" s="399">
        <v>322.98310267493662</v>
      </c>
      <c r="DW162" s="399">
        <v>0</v>
      </c>
      <c r="DX162" s="399">
        <v>0</v>
      </c>
      <c r="DY162" s="399">
        <v>-140.78028000000006</v>
      </c>
      <c r="DZ162" s="399">
        <v>0</v>
      </c>
      <c r="EA162" s="399">
        <v>0</v>
      </c>
      <c r="EB162" s="399">
        <v>0</v>
      </c>
      <c r="EC162" s="399">
        <v>-139.53496109950817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218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2334</v>
      </c>
      <c r="D163" s="399" t="s">
        <v>533</v>
      </c>
      <c r="E163" s="399" t="s">
        <v>890</v>
      </c>
      <c r="F163" s="399" t="s">
        <v>1239</v>
      </c>
      <c r="G163" s="399" t="s">
        <v>1239</v>
      </c>
      <c r="H163" s="399" t="s">
        <v>1239</v>
      </c>
      <c r="I163" s="399" t="s">
        <v>2326</v>
      </c>
      <c r="J163" s="399" t="s">
        <v>2329</v>
      </c>
      <c r="K163" s="789">
        <v>44531</v>
      </c>
      <c r="L163" s="399">
        <v>0</v>
      </c>
      <c r="M163" s="399">
        <v>0</v>
      </c>
      <c r="N163" s="399">
        <v>1925.65</v>
      </c>
      <c r="O163" s="399">
        <v>1925.65</v>
      </c>
      <c r="P163" s="399">
        <v>1925.65</v>
      </c>
      <c r="Q163" s="399">
        <v>1925.65</v>
      </c>
      <c r="R163" s="399"/>
      <c r="S163" s="399">
        <v>69.680000000000007</v>
      </c>
      <c r="T163" s="399">
        <v>141.32</v>
      </c>
      <c r="U163" s="399"/>
      <c r="V163" s="399">
        <v>406312.15</v>
      </c>
      <c r="W163" s="399">
        <v>406312.15</v>
      </c>
      <c r="X163" s="399">
        <v>399649.40100000001</v>
      </c>
      <c r="Y163" s="399">
        <v>0</v>
      </c>
      <c r="Z163" s="399">
        <v>101653.18978355925</v>
      </c>
      <c r="AA163" s="399">
        <v>0</v>
      </c>
      <c r="AB163" s="399">
        <v>0</v>
      </c>
      <c r="AC163" s="399">
        <v>0</v>
      </c>
      <c r="AD163" s="399">
        <v>0</v>
      </c>
      <c r="AE163" s="399">
        <v>0</v>
      </c>
      <c r="AF163" s="399">
        <v>272130.79761609389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18066.433566798474</v>
      </c>
      <c r="AM163" s="399"/>
      <c r="AN163" s="399">
        <v>1156.819626502059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13311.938390829715</v>
      </c>
      <c r="BH163" s="399">
        <v>0</v>
      </c>
      <c r="BI163" s="399">
        <v>0</v>
      </c>
      <c r="BJ163" s="399">
        <v>0</v>
      </c>
      <c r="BK163" s="399">
        <v>0</v>
      </c>
      <c r="BL163" s="399">
        <v>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285442.7360069236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399649.40100000001</v>
      </c>
      <c r="CJ163" s="399">
        <v>-6662.7790000000386</v>
      </c>
      <c r="CK163" s="399"/>
      <c r="CL163" s="399"/>
      <c r="CM163" s="399"/>
      <c r="CN163" s="399"/>
      <c r="CO163" s="399">
        <v>-6662.7490000000153</v>
      </c>
      <c r="CP163" s="399">
        <v>0</v>
      </c>
      <c r="CQ163" s="399"/>
      <c r="CR163" s="399">
        <v>-6676.9064422511728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0</v>
      </c>
      <c r="DD163" s="399">
        <v>0</v>
      </c>
      <c r="DE163" s="399">
        <v>0</v>
      </c>
      <c r="DF163" s="399">
        <v>0</v>
      </c>
      <c r="DG163" s="399">
        <v>0</v>
      </c>
      <c r="DH163" s="399">
        <v>0</v>
      </c>
      <c r="DI163" s="399">
        <v>-5727.5128990980884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-902.74720956453166</v>
      </c>
      <c r="DP163" s="399">
        <v>-46.64633358866331</v>
      </c>
      <c r="DQ163" s="399">
        <v>0</v>
      </c>
      <c r="DR163" s="399">
        <v>0</v>
      </c>
      <c r="DS163" s="399"/>
      <c r="DT163" s="399"/>
      <c r="DU163" s="399"/>
      <c r="DV163" s="399">
        <v>0</v>
      </c>
      <c r="DW163" s="399">
        <v>0</v>
      </c>
      <c r="DX163" s="399">
        <v>0</v>
      </c>
      <c r="DY163" s="399">
        <v>-6662.7490000000107</v>
      </c>
      <c r="DZ163" s="399">
        <v>0</v>
      </c>
      <c r="EA163" s="399">
        <v>0</v>
      </c>
      <c r="EB163" s="399">
        <v>0</v>
      </c>
      <c r="EC163" s="399">
        <v>0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218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2361</v>
      </c>
      <c r="C164" s="399" t="s">
        <v>2334</v>
      </c>
      <c r="D164" s="399" t="s">
        <v>533</v>
      </c>
      <c r="E164" s="399" t="s">
        <v>890</v>
      </c>
      <c r="F164" s="399" t="s">
        <v>1239</v>
      </c>
      <c r="G164" s="399" t="s">
        <v>1239</v>
      </c>
      <c r="H164" s="399" t="s">
        <v>1239</v>
      </c>
      <c r="I164" s="399" t="s">
        <v>2326</v>
      </c>
      <c r="J164" s="399" t="s">
        <v>2329</v>
      </c>
      <c r="K164" s="789">
        <v>44531</v>
      </c>
      <c r="L164" s="399">
        <v>0</v>
      </c>
      <c r="M164" s="399">
        <v>0</v>
      </c>
      <c r="N164" s="399">
        <v>6.08</v>
      </c>
      <c r="O164" s="399">
        <v>6.08</v>
      </c>
      <c r="P164" s="399">
        <v>6.08</v>
      </c>
      <c r="Q164" s="399">
        <v>6.08</v>
      </c>
      <c r="R164" s="399"/>
      <c r="S164" s="399">
        <v>69.680000000000007</v>
      </c>
      <c r="T164" s="399">
        <v>141.32</v>
      </c>
      <c r="U164" s="399"/>
      <c r="V164" s="399">
        <v>1282.8800000000001</v>
      </c>
      <c r="W164" s="399">
        <v>1282.8800000000001</v>
      </c>
      <c r="X164" s="399">
        <v>1261.8432</v>
      </c>
      <c r="Y164" s="399">
        <v>0</v>
      </c>
      <c r="Z164" s="399">
        <v>320.95728397374404</v>
      </c>
      <c r="AA164" s="399">
        <v>0</v>
      </c>
      <c r="AB164" s="399">
        <v>0</v>
      </c>
      <c r="AC164" s="399">
        <v>0</v>
      </c>
      <c r="AD164" s="399">
        <v>0</v>
      </c>
      <c r="AE164" s="399">
        <v>0</v>
      </c>
      <c r="AF164" s="399">
        <v>859.219094594475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57.04251348175147</v>
      </c>
      <c r="AM164" s="399"/>
      <c r="AN164" s="399">
        <v>3.6525138675940689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42.03078722314266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901.24988181761762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1261.8432</v>
      </c>
      <c r="CJ164" s="399">
        <v>-21.066800000000057</v>
      </c>
      <c r="CK164" s="399"/>
      <c r="CL164" s="399"/>
      <c r="CM164" s="399"/>
      <c r="CN164" s="399"/>
      <c r="CO164" s="399">
        <v>-21.036800000000049</v>
      </c>
      <c r="CP164" s="399">
        <v>0</v>
      </c>
      <c r="CQ164" s="399"/>
      <c r="CR164" s="399">
        <v>-21.081500360339305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0</v>
      </c>
      <c r="DA164" s="399">
        <v>0</v>
      </c>
      <c r="DB164" s="399">
        <v>0</v>
      </c>
      <c r="DC164" s="399">
        <v>0</v>
      </c>
      <c r="DD164" s="399">
        <v>0</v>
      </c>
      <c r="DE164" s="399">
        <v>0</v>
      </c>
      <c r="DF164" s="399">
        <v>0</v>
      </c>
      <c r="DG164" s="399">
        <v>0</v>
      </c>
      <c r="DH164" s="399">
        <v>0</v>
      </c>
      <c r="DI164" s="399">
        <v>-18.083908512199173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-2.8503118604898816</v>
      </c>
      <c r="DP164" s="399">
        <v>-0.14727998765044203</v>
      </c>
      <c r="DQ164" s="399">
        <v>0</v>
      </c>
      <c r="DR164" s="399">
        <v>0</v>
      </c>
      <c r="DS164" s="399"/>
      <c r="DT164" s="399"/>
      <c r="DU164" s="399"/>
      <c r="DV164" s="399">
        <v>0</v>
      </c>
      <c r="DW164" s="399">
        <v>0</v>
      </c>
      <c r="DX164" s="399">
        <v>0</v>
      </c>
      <c r="DY164" s="399">
        <v>-21.036800000000085</v>
      </c>
      <c r="DZ164" s="399">
        <v>0</v>
      </c>
      <c r="EA164" s="399">
        <v>0</v>
      </c>
      <c r="EB164" s="399">
        <v>0</v>
      </c>
      <c r="EC164" s="399">
        <v>0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218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2334</v>
      </c>
      <c r="D165" s="399" t="s">
        <v>533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1239</v>
      </c>
      <c r="J165" s="399" t="s">
        <v>2329</v>
      </c>
      <c r="K165" s="789">
        <v>44531</v>
      </c>
      <c r="L165" s="399">
        <v>9709</v>
      </c>
      <c r="M165" s="399">
        <v>9709</v>
      </c>
      <c r="N165" s="399">
        <v>0</v>
      </c>
      <c r="O165" s="399">
        <v>0</v>
      </c>
      <c r="P165" s="399">
        <v>0</v>
      </c>
      <c r="Q165" s="399">
        <v>0</v>
      </c>
      <c r="R165" s="399">
        <v>35.15</v>
      </c>
      <c r="S165" s="399"/>
      <c r="T165" s="399"/>
      <c r="U165" s="399">
        <v>341271.35</v>
      </c>
      <c r="V165" s="399"/>
      <c r="W165" s="399">
        <v>341271.35</v>
      </c>
      <c r="X165" s="399">
        <v>249132.94</v>
      </c>
      <c r="Y165" s="399">
        <v>0</v>
      </c>
      <c r="Z165" s="399">
        <v>0</v>
      </c>
      <c r="AA165" s="399">
        <v>0</v>
      </c>
      <c r="AB165" s="399">
        <v>0</v>
      </c>
      <c r="AC165" s="399">
        <v>0</v>
      </c>
      <c r="AD165" s="399">
        <v>129434.30329712425</v>
      </c>
      <c r="AE165" s="399">
        <v>211830.74084143955</v>
      </c>
      <c r="AF165" s="399"/>
      <c r="AG165" s="399"/>
      <c r="AH165" s="399"/>
      <c r="AI165" s="399">
        <v>0</v>
      </c>
      <c r="AJ165" s="399">
        <v>0</v>
      </c>
      <c r="AK165" s="399">
        <v>0</v>
      </c>
      <c r="AL165" s="399">
        <v>0</v>
      </c>
      <c r="AM165" s="399"/>
      <c r="AN165" s="399">
        <v>0</v>
      </c>
      <c r="AO165" s="399">
        <v>0</v>
      </c>
      <c r="AP165" s="399">
        <v>0</v>
      </c>
      <c r="AQ165" s="399">
        <v>0</v>
      </c>
      <c r="AR165" s="399">
        <v>0</v>
      </c>
      <c r="AS165" s="399"/>
      <c r="AT165" s="399"/>
      <c r="AU165" s="399">
        <v>0</v>
      </c>
      <c r="AV165" s="399">
        <v>0</v>
      </c>
      <c r="AW165" s="399">
        <v>0</v>
      </c>
      <c r="AX165" s="399"/>
      <c r="AY165" s="399"/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/>
      <c r="BG165" s="399">
        <v>0</v>
      </c>
      <c r="BH165" s="399">
        <v>0</v>
      </c>
      <c r="BI165" s="399">
        <v>7214.07</v>
      </c>
      <c r="BJ165" s="399">
        <v>33296.46</v>
      </c>
      <c r="BK165" s="399">
        <v>362121.34</v>
      </c>
      <c r="BL165" s="399">
        <v>31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0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249132.94</v>
      </c>
      <c r="CJ165" s="399">
        <v>-92138.44</v>
      </c>
      <c r="CK165" s="399"/>
      <c r="CL165" s="399"/>
      <c r="CM165" s="399"/>
      <c r="CN165" s="399"/>
      <c r="CO165" s="399">
        <v>-92138.409999999989</v>
      </c>
      <c r="CP165" s="399">
        <v>0</v>
      </c>
      <c r="CQ165" s="399"/>
      <c r="CR165" s="399">
        <v>-616.45716424840793</v>
      </c>
      <c r="CS165" s="399">
        <v>0</v>
      </c>
      <c r="CT165" s="399">
        <v>0</v>
      </c>
      <c r="CU165" s="399">
        <v>0</v>
      </c>
      <c r="CV165" s="399">
        <v>0</v>
      </c>
      <c r="CW165" s="399"/>
      <c r="CX165" s="399"/>
      <c r="CY165" s="399"/>
      <c r="CZ165" s="399">
        <v>-616.45716424840793</v>
      </c>
      <c r="DA165" s="399">
        <v>0</v>
      </c>
      <c r="DB165" s="399">
        <v>0</v>
      </c>
      <c r="DC165" s="399"/>
      <c r="DD165" s="399"/>
      <c r="DE165" s="399">
        <v>0</v>
      </c>
      <c r="DF165" s="399">
        <v>0</v>
      </c>
      <c r="DG165" s="399">
        <v>0</v>
      </c>
      <c r="DH165" s="399">
        <v>0</v>
      </c>
      <c r="DI165" s="399">
        <v>0</v>
      </c>
      <c r="DJ165" s="399"/>
      <c r="DK165" s="399">
        <v>0</v>
      </c>
      <c r="DL165" s="399">
        <v>0</v>
      </c>
      <c r="DM165" s="399"/>
      <c r="DN165" s="399">
        <v>0</v>
      </c>
      <c r="DO165" s="399">
        <v>0</v>
      </c>
      <c r="DP165" s="399">
        <v>0</v>
      </c>
      <c r="DQ165" s="399">
        <v>0</v>
      </c>
      <c r="DR165" s="399">
        <v>0</v>
      </c>
      <c r="DS165" s="399"/>
      <c r="DT165" s="399"/>
      <c r="DU165" s="399">
        <v>211830.74084143955</v>
      </c>
      <c r="DV165" s="399"/>
      <c r="DW165" s="399">
        <v>0</v>
      </c>
      <c r="DX165" s="399">
        <v>0</v>
      </c>
      <c r="DY165" s="399">
        <v>-92138.409999999974</v>
      </c>
      <c r="DZ165" s="399"/>
      <c r="EA165" s="399">
        <v>0</v>
      </c>
      <c r="EB165" s="399"/>
      <c r="EC165" s="399">
        <v>-91514.986196470985</v>
      </c>
      <c r="ED165" s="399"/>
      <c r="EE165" s="399">
        <v>0</v>
      </c>
      <c r="EF165" s="399">
        <v>0</v>
      </c>
      <c r="EG165" s="399"/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/>
      <c r="EN165" s="399"/>
      <c r="EO165" s="399">
        <v>0</v>
      </c>
      <c r="EP165" s="399">
        <v>0</v>
      </c>
      <c r="EQ165" s="399"/>
      <c r="ER165" s="399">
        <v>0</v>
      </c>
      <c r="ES165" s="399"/>
      <c r="ET165" s="399">
        <v>0</v>
      </c>
      <c r="EU165" s="399"/>
      <c r="EV165" s="399">
        <v>218</v>
      </c>
      <c r="EW165" s="399"/>
      <c r="EX165" s="399"/>
      <c r="EY165" s="399"/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2361</v>
      </c>
      <c r="C166" s="399" t="s">
        <v>2334</v>
      </c>
      <c r="D166" s="399" t="s">
        <v>533</v>
      </c>
      <c r="E166" s="399" t="s">
        <v>890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2329</v>
      </c>
      <c r="K166" s="789">
        <v>44531</v>
      </c>
      <c r="L166" s="399">
        <v>440</v>
      </c>
      <c r="M166" s="399">
        <v>440</v>
      </c>
      <c r="N166" s="399">
        <v>0</v>
      </c>
      <c r="O166" s="399">
        <v>0</v>
      </c>
      <c r="P166" s="399">
        <v>0</v>
      </c>
      <c r="Q166" s="399">
        <v>0</v>
      </c>
      <c r="R166" s="399">
        <v>35.15</v>
      </c>
      <c r="S166" s="399"/>
      <c r="T166" s="399"/>
      <c r="U166" s="399">
        <v>15466</v>
      </c>
      <c r="V166" s="399"/>
      <c r="W166" s="399">
        <v>15466</v>
      </c>
      <c r="X166" s="399">
        <v>11290.4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5865.804248710956</v>
      </c>
      <c r="AE166" s="399">
        <v>9599.9099773646521</v>
      </c>
      <c r="AF166" s="399"/>
      <c r="AG166" s="399"/>
      <c r="AH166" s="399"/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0</v>
      </c>
      <c r="AO166" s="399">
        <v>0</v>
      </c>
      <c r="AP166" s="399">
        <v>0</v>
      </c>
      <c r="AQ166" s="399">
        <v>0</v>
      </c>
      <c r="AR166" s="399">
        <v>0</v>
      </c>
      <c r="AS166" s="399"/>
      <c r="AT166" s="399"/>
      <c r="AU166" s="399">
        <v>0</v>
      </c>
      <c r="AV166" s="399">
        <v>0</v>
      </c>
      <c r="AW166" s="399">
        <v>0</v>
      </c>
      <c r="AX166" s="399"/>
      <c r="AY166" s="399"/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/>
      <c r="BG166" s="399">
        <v>0</v>
      </c>
      <c r="BH166" s="399">
        <v>0</v>
      </c>
      <c r="BI166" s="399">
        <v>96.1</v>
      </c>
      <c r="BJ166" s="399">
        <v>443.6</v>
      </c>
      <c r="BK166" s="399">
        <v>4241.2700000000004</v>
      </c>
      <c r="BL166" s="399">
        <v>2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0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11290.4</v>
      </c>
      <c r="CJ166" s="399">
        <v>-4175.630000000001</v>
      </c>
      <c r="CK166" s="399"/>
      <c r="CL166" s="399"/>
      <c r="CM166" s="399"/>
      <c r="CN166" s="399"/>
      <c r="CO166" s="399">
        <v>-4175.5999999999995</v>
      </c>
      <c r="CP166" s="399">
        <v>0</v>
      </c>
      <c r="CQ166" s="399"/>
      <c r="CR166" s="399">
        <v>-27.937084382459943</v>
      </c>
      <c r="CS166" s="399">
        <v>0</v>
      </c>
      <c r="CT166" s="399">
        <v>0</v>
      </c>
      <c r="CU166" s="399">
        <v>0</v>
      </c>
      <c r="CV166" s="399">
        <v>0</v>
      </c>
      <c r="CW166" s="399"/>
      <c r="CX166" s="399"/>
      <c r="CY166" s="399"/>
      <c r="CZ166" s="399">
        <v>-27.937084382459943</v>
      </c>
      <c r="DA166" s="399">
        <v>0</v>
      </c>
      <c r="DB166" s="399">
        <v>0</v>
      </c>
      <c r="DC166" s="399"/>
      <c r="DD166" s="399"/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/>
      <c r="DN166" s="399">
        <v>0</v>
      </c>
      <c r="DO166" s="399">
        <v>0</v>
      </c>
      <c r="DP166" s="399">
        <v>0</v>
      </c>
      <c r="DQ166" s="399">
        <v>0</v>
      </c>
      <c r="DR166" s="399">
        <v>0</v>
      </c>
      <c r="DS166" s="399"/>
      <c r="DT166" s="399"/>
      <c r="DU166" s="399">
        <v>9599.9099773646521</v>
      </c>
      <c r="DV166" s="399"/>
      <c r="DW166" s="399">
        <v>0</v>
      </c>
      <c r="DX166" s="399">
        <v>0</v>
      </c>
      <c r="DY166" s="399">
        <v>-4175.6000000000004</v>
      </c>
      <c r="DZ166" s="399"/>
      <c r="EA166" s="399">
        <v>0</v>
      </c>
      <c r="EB166" s="399"/>
      <c r="EC166" s="399">
        <v>-4147.3471960497727</v>
      </c>
      <c r="ED166" s="399"/>
      <c r="EE166" s="399">
        <v>0</v>
      </c>
      <c r="EF166" s="399">
        <v>0</v>
      </c>
      <c r="EG166" s="399"/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/>
      <c r="EN166" s="399"/>
      <c r="EO166" s="399">
        <v>0</v>
      </c>
      <c r="EP166" s="399">
        <v>0</v>
      </c>
      <c r="EQ166" s="399"/>
      <c r="ER166" s="399">
        <v>0</v>
      </c>
      <c r="ES166" s="399"/>
      <c r="ET166" s="399">
        <v>0</v>
      </c>
      <c r="EU166" s="399"/>
      <c r="EV166" s="399">
        <v>218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2328</v>
      </c>
      <c r="D167" s="399" t="s">
        <v>1826</v>
      </c>
      <c r="E167" s="399" t="s">
        <v>918</v>
      </c>
      <c r="F167" s="399" t="s">
        <v>1239</v>
      </c>
      <c r="G167" s="399" t="s">
        <v>1239</v>
      </c>
      <c r="H167" s="399" t="s">
        <v>1239</v>
      </c>
      <c r="I167" s="399" t="s">
        <v>1239</v>
      </c>
      <c r="J167" s="399" t="s">
        <v>2329</v>
      </c>
      <c r="K167" s="789">
        <v>44531</v>
      </c>
      <c r="L167" s="399">
        <v>0</v>
      </c>
      <c r="M167" s="399">
        <v>0</v>
      </c>
      <c r="N167" s="399">
        <v>240.87700000000001</v>
      </c>
      <c r="O167" s="399">
        <v>240.87700000000001</v>
      </c>
      <c r="P167" s="399">
        <v>240.87700000000001</v>
      </c>
      <c r="Q167" s="399">
        <v>240.87700000000001</v>
      </c>
      <c r="R167" s="399"/>
      <c r="S167" s="399">
        <v>521.86</v>
      </c>
      <c r="T167" s="399">
        <v>141.32</v>
      </c>
      <c r="U167" s="399"/>
      <c r="V167" s="399">
        <v>159744.80886000002</v>
      </c>
      <c r="W167" s="399">
        <v>159744.80886000002</v>
      </c>
      <c r="X167" s="399">
        <v>124853.77541</v>
      </c>
      <c r="Y167" s="399">
        <v>0</v>
      </c>
      <c r="Z167" s="399">
        <v>14615.703964712557</v>
      </c>
      <c r="AA167" s="399">
        <v>0</v>
      </c>
      <c r="AB167" s="399">
        <v>0</v>
      </c>
      <c r="AC167" s="399">
        <v>0</v>
      </c>
      <c r="AD167" s="399">
        <v>25907.237218130755</v>
      </c>
      <c r="AE167" s="399">
        <v>78273.172613020113</v>
      </c>
      <c r="AF167" s="399">
        <v>34040.479909314694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2259.9061710433962</v>
      </c>
      <c r="AM167" s="399"/>
      <c r="AN167" s="399">
        <v>334.06428611558823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4312.8781181948525</v>
      </c>
      <c r="BH167" s="399">
        <v>0</v>
      </c>
      <c r="BI167" s="399">
        <v>1070.21</v>
      </c>
      <c r="BJ167" s="399">
        <v>4951.6099999999997</v>
      </c>
      <c r="BK167" s="399">
        <v>54342.29</v>
      </c>
      <c r="BL167" s="399">
        <v>581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38353.358027509545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124855.33040000001</v>
      </c>
      <c r="CJ167" s="399">
        <v>-34889.508460000012</v>
      </c>
      <c r="CK167" s="399"/>
      <c r="CL167" s="399"/>
      <c r="CM167" s="399"/>
      <c r="CN167" s="399"/>
      <c r="CO167" s="399">
        <v>-34891.03345000001</v>
      </c>
      <c r="CP167" s="399">
        <v>0</v>
      </c>
      <c r="CQ167" s="399"/>
      <c r="CR167" s="399">
        <v>-1073.2846478867432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-123.38848035014598</v>
      </c>
      <c r="DA167" s="399">
        <v>0</v>
      </c>
      <c r="DB167" s="399">
        <v>0</v>
      </c>
      <c r="DC167" s="399">
        <v>0</v>
      </c>
      <c r="DD167" s="399">
        <v>0</v>
      </c>
      <c r="DE167" s="399">
        <v>0</v>
      </c>
      <c r="DF167" s="399">
        <v>0</v>
      </c>
      <c r="DG167" s="399">
        <v>0</v>
      </c>
      <c r="DH167" s="399">
        <v>0</v>
      </c>
      <c r="DI167" s="399">
        <v>-823.50227440503477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-112.92344901631941</v>
      </c>
      <c r="DP167" s="399">
        <v>-13.470444115236432</v>
      </c>
      <c r="DQ167" s="399">
        <v>0</v>
      </c>
      <c r="DR167" s="399">
        <v>0</v>
      </c>
      <c r="DS167" s="399"/>
      <c r="DT167" s="399"/>
      <c r="DU167" s="399"/>
      <c r="DV167" s="399">
        <v>78273.172613020113</v>
      </c>
      <c r="DW167" s="399">
        <v>0</v>
      </c>
      <c r="DX167" s="399">
        <v>0</v>
      </c>
      <c r="DY167" s="399">
        <v>-34891.033450000017</v>
      </c>
      <c r="DZ167" s="399">
        <v>0</v>
      </c>
      <c r="EA167" s="399">
        <v>0</v>
      </c>
      <c r="EB167" s="399">
        <v>0</v>
      </c>
      <c r="EC167" s="399">
        <v>-33815.527825568621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218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2361</v>
      </c>
      <c r="C168" s="399" t="s">
        <v>2328</v>
      </c>
      <c r="D168" s="399" t="s">
        <v>1826</v>
      </c>
      <c r="E168" s="399" t="s">
        <v>918</v>
      </c>
      <c r="F168" s="399" t="s">
        <v>1239</v>
      </c>
      <c r="G168" s="399" t="s">
        <v>1239</v>
      </c>
      <c r="H168" s="399" t="s">
        <v>1239</v>
      </c>
      <c r="I168" s="399" t="s">
        <v>1239</v>
      </c>
      <c r="J168" s="399" t="s">
        <v>2329</v>
      </c>
      <c r="K168" s="789">
        <v>44531</v>
      </c>
      <c r="L168" s="399">
        <v>0</v>
      </c>
      <c r="M168" s="399">
        <v>0</v>
      </c>
      <c r="N168" s="399">
        <v>4.6589999999999998</v>
      </c>
      <c r="O168" s="399">
        <v>4.6589999999999998</v>
      </c>
      <c r="P168" s="399">
        <v>4.6589999999999998</v>
      </c>
      <c r="Q168" s="399">
        <v>4.6589999999999998</v>
      </c>
      <c r="R168" s="399"/>
      <c r="S168" s="399">
        <v>521.86</v>
      </c>
      <c r="T168" s="399">
        <v>141.32</v>
      </c>
      <c r="U168" s="399"/>
      <c r="V168" s="399">
        <v>3089.7556199999999</v>
      </c>
      <c r="W168" s="399">
        <v>3089.7556199999999</v>
      </c>
      <c r="X168" s="399">
        <v>2414.8994699999998</v>
      </c>
      <c r="Y168" s="399">
        <v>0</v>
      </c>
      <c r="Z168" s="399">
        <v>282.69434097732784</v>
      </c>
      <c r="AA168" s="399">
        <v>0</v>
      </c>
      <c r="AB168" s="399">
        <v>0</v>
      </c>
      <c r="AC168" s="399">
        <v>0</v>
      </c>
      <c r="AD168" s="399">
        <v>501.09316455814036</v>
      </c>
      <c r="AE168" s="399">
        <v>1513.9457532436084</v>
      </c>
      <c r="AF168" s="399">
        <v>658.40489501902277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43.710702353861855</v>
      </c>
      <c r="AM168" s="399"/>
      <c r="AN168" s="399">
        <v>6.4614118783135188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83.418919833233616</v>
      </c>
      <c r="BH168" s="399">
        <v>0</v>
      </c>
      <c r="BI168" s="399">
        <v>20.59</v>
      </c>
      <c r="BJ168" s="399">
        <v>95.82</v>
      </c>
      <c r="BK168" s="399">
        <v>3596.43</v>
      </c>
      <c r="BL168" s="399">
        <v>32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741.82381485225642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2415.4178000000002</v>
      </c>
      <c r="CJ168" s="399">
        <v>-674.36782000000039</v>
      </c>
      <c r="CK168" s="399"/>
      <c r="CL168" s="399"/>
      <c r="CM168" s="399"/>
      <c r="CN168" s="399"/>
      <c r="CO168" s="399">
        <v>-674.85615000000007</v>
      </c>
      <c r="CP168" s="399">
        <v>0</v>
      </c>
      <c r="CQ168" s="399"/>
      <c r="CR168" s="399">
        <v>-20.759280356797717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-2.3865579941269743</v>
      </c>
      <c r="DA168" s="399">
        <v>0</v>
      </c>
      <c r="DB168" s="399">
        <v>0</v>
      </c>
      <c r="DC168" s="399">
        <v>0</v>
      </c>
      <c r="DD168" s="399">
        <v>0</v>
      </c>
      <c r="DE168" s="399">
        <v>0</v>
      </c>
      <c r="DF168" s="399">
        <v>0</v>
      </c>
      <c r="DG168" s="399">
        <v>0</v>
      </c>
      <c r="DH168" s="399">
        <v>0</v>
      </c>
      <c r="DI168" s="399">
        <v>-15.928034210211251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-2.1841452233589393</v>
      </c>
      <c r="DP168" s="399">
        <v>-0.26054292910027321</v>
      </c>
      <c r="DQ168" s="399">
        <v>0</v>
      </c>
      <c r="DR168" s="399">
        <v>0</v>
      </c>
      <c r="DS168" s="399"/>
      <c r="DT168" s="399"/>
      <c r="DU168" s="399"/>
      <c r="DV168" s="399">
        <v>1513.9457532436084</v>
      </c>
      <c r="DW168" s="399">
        <v>0</v>
      </c>
      <c r="DX168" s="399">
        <v>0</v>
      </c>
      <c r="DY168" s="399">
        <v>-674.85614999999984</v>
      </c>
      <c r="DZ168" s="399">
        <v>0</v>
      </c>
      <c r="EA168" s="399">
        <v>0</v>
      </c>
      <c r="EB168" s="399">
        <v>0</v>
      </c>
      <c r="EC168" s="399">
        <v>-654.05391191074341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218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2334</v>
      </c>
      <c r="D169" s="399" t="s">
        <v>533</v>
      </c>
      <c r="E169" s="399" t="s">
        <v>918</v>
      </c>
      <c r="F169" s="399" t="s">
        <v>1239</v>
      </c>
      <c r="G169" s="399" t="s">
        <v>1239</v>
      </c>
      <c r="H169" s="399" t="s">
        <v>1239</v>
      </c>
      <c r="I169" s="399" t="s">
        <v>893</v>
      </c>
      <c r="J169" s="399" t="s">
        <v>2329</v>
      </c>
      <c r="K169" s="789">
        <v>44531</v>
      </c>
      <c r="L169" s="399">
        <v>0</v>
      </c>
      <c r="M169" s="399">
        <v>0</v>
      </c>
      <c r="N169" s="399">
        <v>1.8440000000000001</v>
      </c>
      <c r="O169" s="399">
        <v>1.8440000000000001</v>
      </c>
      <c r="P169" s="399">
        <v>1.8440000000000001</v>
      </c>
      <c r="Q169" s="399">
        <v>1.8440000000000001</v>
      </c>
      <c r="R169" s="399"/>
      <c r="S169" s="399">
        <v>2741.05</v>
      </c>
      <c r="T169" s="399">
        <v>141.32</v>
      </c>
      <c r="U169" s="399"/>
      <c r="V169" s="399">
        <v>5315.0902800000003</v>
      </c>
      <c r="W169" s="399">
        <v>5315.0902800000003</v>
      </c>
      <c r="X169" s="399">
        <v>3805.7947199999999</v>
      </c>
      <c r="Y169" s="399">
        <v>0</v>
      </c>
      <c r="Z169" s="399">
        <v>97.342965731510546</v>
      </c>
      <c r="AA169" s="399">
        <v>0</v>
      </c>
      <c r="AB169" s="399">
        <v>0</v>
      </c>
      <c r="AC169" s="399">
        <v>0</v>
      </c>
      <c r="AD169" s="399">
        <v>1463.3273675120579</v>
      </c>
      <c r="AE169" s="399">
        <v>3462.6793100731584</v>
      </c>
      <c r="AF169" s="399">
        <v>260.5921069789822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17.300393891504886</v>
      </c>
      <c r="AM169" s="399"/>
      <c r="AN169" s="399">
        <v>1.1077690085268854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12.747495335439979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273.33960231442217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3797.5392000000002</v>
      </c>
      <c r="CJ169" s="399">
        <v>-1517.5810800000008</v>
      </c>
      <c r="CK169" s="399"/>
      <c r="CL169" s="399"/>
      <c r="CM169" s="399"/>
      <c r="CN169" s="399"/>
      <c r="CO169" s="399">
        <v>-1509.2955600000005</v>
      </c>
      <c r="CP169" s="399">
        <v>0</v>
      </c>
      <c r="CQ169" s="399"/>
      <c r="CR169" s="399">
        <v>-13.363191013956111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-6.9693938651951157</v>
      </c>
      <c r="DA169" s="399">
        <v>0</v>
      </c>
      <c r="DB169" s="399">
        <v>0</v>
      </c>
      <c r="DC169" s="399">
        <v>0</v>
      </c>
      <c r="DD169" s="399">
        <v>0</v>
      </c>
      <c r="DE169" s="399">
        <v>0</v>
      </c>
      <c r="DF169" s="399">
        <v>0</v>
      </c>
      <c r="DG169" s="399">
        <v>0</v>
      </c>
      <c r="DH169" s="399">
        <v>0</v>
      </c>
      <c r="DI169" s="399">
        <v>-5.4846590948183263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-0.86446958400383878</v>
      </c>
      <c r="DP169" s="399">
        <v>-4.4668469938719646E-2</v>
      </c>
      <c r="DQ169" s="399">
        <v>0</v>
      </c>
      <c r="DR169" s="399">
        <v>0</v>
      </c>
      <c r="DS169" s="399"/>
      <c r="DT169" s="399"/>
      <c r="DU169" s="399"/>
      <c r="DV169" s="399">
        <v>3462.6793100731584</v>
      </c>
      <c r="DW169" s="399">
        <v>0</v>
      </c>
      <c r="DX169" s="399">
        <v>0</v>
      </c>
      <c r="DY169" s="399">
        <v>-1509.2955600000005</v>
      </c>
      <c r="DZ169" s="399">
        <v>0</v>
      </c>
      <c r="EA169" s="399">
        <v>0</v>
      </c>
      <c r="EB169" s="399">
        <v>0</v>
      </c>
      <c r="EC169" s="399">
        <v>-1495.9445829505414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218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2334</v>
      </c>
      <c r="D170" s="399" t="s">
        <v>533</v>
      </c>
      <c r="E170" s="399" t="s">
        <v>918</v>
      </c>
      <c r="F170" s="399" t="s">
        <v>1239</v>
      </c>
      <c r="G170" s="399" t="s">
        <v>1239</v>
      </c>
      <c r="H170" s="399" t="s">
        <v>1239</v>
      </c>
      <c r="I170" s="399" t="s">
        <v>2326</v>
      </c>
      <c r="J170" s="399" t="s">
        <v>2329</v>
      </c>
      <c r="K170" s="789">
        <v>44531</v>
      </c>
      <c r="L170" s="399">
        <v>0</v>
      </c>
      <c r="M170" s="399">
        <v>0</v>
      </c>
      <c r="N170" s="399">
        <v>29.385999999999999</v>
      </c>
      <c r="O170" s="399">
        <v>29.385999999999999</v>
      </c>
      <c r="P170" s="399">
        <v>29.385999999999999</v>
      </c>
      <c r="Q170" s="399">
        <v>29.385999999999999</v>
      </c>
      <c r="R170" s="399"/>
      <c r="S170" s="399">
        <v>69.680000000000007</v>
      </c>
      <c r="T170" s="399">
        <v>141.32</v>
      </c>
      <c r="U170" s="399"/>
      <c r="V170" s="399">
        <v>6200.4459999999999</v>
      </c>
      <c r="W170" s="399">
        <v>6200.4459999999999</v>
      </c>
      <c r="X170" s="399">
        <v>6098.7704399999993</v>
      </c>
      <c r="Y170" s="399">
        <v>0</v>
      </c>
      <c r="Z170" s="399">
        <v>1551.2583465217833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4152.7980779199406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275.69922716689945</v>
      </c>
      <c r="AM170" s="399"/>
      <c r="AN170" s="399">
        <v>17.653416531763042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203.1441962729063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4355.9422741928465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6099.6005999999998</v>
      </c>
      <c r="CJ170" s="399">
        <v>-100.8753999999999</v>
      </c>
      <c r="CK170" s="399"/>
      <c r="CL170" s="399"/>
      <c r="CM170" s="399"/>
      <c r="CN170" s="399"/>
      <c r="CO170" s="399">
        <v>-101.67556000000023</v>
      </c>
      <c r="CP170" s="399">
        <v>0</v>
      </c>
      <c r="CQ170" s="399"/>
      <c r="CR170" s="399">
        <v>-101.89160684028593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0</v>
      </c>
      <c r="DD170" s="399">
        <v>0</v>
      </c>
      <c r="DE170" s="399">
        <v>0</v>
      </c>
      <c r="DF170" s="399">
        <v>0</v>
      </c>
      <c r="DG170" s="399">
        <v>0</v>
      </c>
      <c r="DH170" s="399">
        <v>0</v>
      </c>
      <c r="DI170" s="399">
        <v>-87.403574924257555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-13.776194791505873</v>
      </c>
      <c r="DP170" s="399">
        <v>-0.71183712452234715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-101.67556000000013</v>
      </c>
      <c r="DZ170" s="399">
        <v>0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218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2334</v>
      </c>
      <c r="D171" s="399" t="s">
        <v>533</v>
      </c>
      <c r="E171" s="399" t="s">
        <v>918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2329</v>
      </c>
      <c r="K171" s="789">
        <v>44531</v>
      </c>
      <c r="L171" s="399">
        <v>320</v>
      </c>
      <c r="M171" s="399">
        <v>320</v>
      </c>
      <c r="N171" s="399">
        <v>0</v>
      </c>
      <c r="O171" s="399">
        <v>0</v>
      </c>
      <c r="P171" s="399">
        <v>0</v>
      </c>
      <c r="Q171" s="399">
        <v>0</v>
      </c>
      <c r="R171" s="399">
        <v>35.15</v>
      </c>
      <c r="S171" s="399"/>
      <c r="T171" s="399"/>
      <c r="U171" s="399">
        <v>11248</v>
      </c>
      <c r="V171" s="399"/>
      <c r="W171" s="399">
        <v>11248</v>
      </c>
      <c r="X171" s="399">
        <v>8211.2000000000007</v>
      </c>
      <c r="Y171" s="399">
        <v>0</v>
      </c>
      <c r="Z171" s="399">
        <v>0</v>
      </c>
      <c r="AA171" s="399">
        <v>0</v>
      </c>
      <c r="AB171" s="399">
        <v>0</v>
      </c>
      <c r="AC171" s="399">
        <v>0</v>
      </c>
      <c r="AD171" s="399">
        <v>4266.0394536079675</v>
      </c>
      <c r="AE171" s="399">
        <v>6981.752710810656</v>
      </c>
      <c r="AF171" s="399"/>
      <c r="AG171" s="399"/>
      <c r="AH171" s="399"/>
      <c r="AI171" s="399">
        <v>0</v>
      </c>
      <c r="AJ171" s="399">
        <v>0</v>
      </c>
      <c r="AK171" s="399">
        <v>0</v>
      </c>
      <c r="AL171" s="399">
        <v>0</v>
      </c>
      <c r="AM171" s="399"/>
      <c r="AN171" s="399">
        <v>0</v>
      </c>
      <c r="AO171" s="399">
        <v>0</v>
      </c>
      <c r="AP171" s="399">
        <v>0</v>
      </c>
      <c r="AQ171" s="399">
        <v>0</v>
      </c>
      <c r="AR171" s="399">
        <v>0</v>
      </c>
      <c r="AS171" s="399"/>
      <c r="AT171" s="399"/>
      <c r="AU171" s="399">
        <v>0</v>
      </c>
      <c r="AV171" s="399">
        <v>0</v>
      </c>
      <c r="AW171" s="399">
        <v>0</v>
      </c>
      <c r="AX171" s="399"/>
      <c r="AY171" s="399"/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/>
      <c r="BG171" s="399">
        <v>0</v>
      </c>
      <c r="BH171" s="399">
        <v>0</v>
      </c>
      <c r="BI171" s="399">
        <v>159.05000000000001</v>
      </c>
      <c r="BJ171" s="399">
        <v>734.09</v>
      </c>
      <c r="BK171" s="399">
        <v>8076.72</v>
      </c>
      <c r="BL171" s="399">
        <v>3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0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8211.2000000000007</v>
      </c>
      <c r="CJ171" s="399">
        <v>-3036.83</v>
      </c>
      <c r="CK171" s="399"/>
      <c r="CL171" s="399"/>
      <c r="CM171" s="399"/>
      <c r="CN171" s="399"/>
      <c r="CO171" s="399">
        <v>-3036.7999999999993</v>
      </c>
      <c r="CP171" s="399">
        <v>0</v>
      </c>
      <c r="CQ171" s="399"/>
      <c r="CR171" s="399">
        <v>-20.317879550879297</v>
      </c>
      <c r="CS171" s="399">
        <v>0</v>
      </c>
      <c r="CT171" s="399">
        <v>0</v>
      </c>
      <c r="CU171" s="399">
        <v>0</v>
      </c>
      <c r="CV171" s="399">
        <v>0</v>
      </c>
      <c r="CW171" s="399"/>
      <c r="CX171" s="399"/>
      <c r="CY171" s="399"/>
      <c r="CZ171" s="399">
        <v>-20.317879550879297</v>
      </c>
      <c r="DA171" s="399">
        <v>0</v>
      </c>
      <c r="DB171" s="399">
        <v>0</v>
      </c>
      <c r="DC171" s="399"/>
      <c r="DD171" s="399"/>
      <c r="DE171" s="399">
        <v>0</v>
      </c>
      <c r="DF171" s="399">
        <v>0</v>
      </c>
      <c r="DG171" s="399">
        <v>0</v>
      </c>
      <c r="DH171" s="399">
        <v>0</v>
      </c>
      <c r="DI171" s="399">
        <v>0</v>
      </c>
      <c r="DJ171" s="399"/>
      <c r="DK171" s="399">
        <v>0</v>
      </c>
      <c r="DL171" s="399">
        <v>0</v>
      </c>
      <c r="DM171" s="399"/>
      <c r="DN171" s="399">
        <v>0</v>
      </c>
      <c r="DO171" s="399">
        <v>0</v>
      </c>
      <c r="DP171" s="399">
        <v>0</v>
      </c>
      <c r="DQ171" s="399">
        <v>0</v>
      </c>
      <c r="DR171" s="399">
        <v>0</v>
      </c>
      <c r="DS171" s="399"/>
      <c r="DT171" s="399"/>
      <c r="DU171" s="399">
        <v>6981.752710810656</v>
      </c>
      <c r="DV171" s="399"/>
      <c r="DW171" s="399">
        <v>0</v>
      </c>
      <c r="DX171" s="399">
        <v>0</v>
      </c>
      <c r="DY171" s="399">
        <v>-3036.7999999999993</v>
      </c>
      <c r="DZ171" s="399"/>
      <c r="EA171" s="399">
        <v>0</v>
      </c>
      <c r="EB171" s="399"/>
      <c r="EC171" s="399">
        <v>-3016.2525062180162</v>
      </c>
      <c r="ED171" s="399"/>
      <c r="EE171" s="399">
        <v>0</v>
      </c>
      <c r="EF171" s="399">
        <v>0</v>
      </c>
      <c r="EG171" s="399"/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/>
      <c r="EN171" s="399"/>
      <c r="EO171" s="399">
        <v>0</v>
      </c>
      <c r="EP171" s="399">
        <v>0</v>
      </c>
      <c r="EQ171" s="399"/>
      <c r="ER171" s="399">
        <v>0</v>
      </c>
      <c r="ES171" s="399"/>
      <c r="ET171" s="399">
        <v>0</v>
      </c>
      <c r="EU171" s="399"/>
      <c r="EV171" s="399">
        <v>218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956</v>
      </c>
      <c r="C172" s="399" t="s">
        <v>2328</v>
      </c>
      <c r="D172" s="399" t="s">
        <v>2335</v>
      </c>
      <c r="E172" s="399" t="s">
        <v>894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2329</v>
      </c>
      <c r="K172" s="789">
        <v>44531</v>
      </c>
      <c r="L172" s="399">
        <v>0</v>
      </c>
      <c r="M172" s="399">
        <v>0</v>
      </c>
      <c r="N172" s="399">
        <v>3180.2330000000002</v>
      </c>
      <c r="O172" s="399">
        <v>3180.2330000000002</v>
      </c>
      <c r="P172" s="399">
        <v>3180.2330000000002</v>
      </c>
      <c r="Q172" s="399">
        <v>3180.2330000000002</v>
      </c>
      <c r="R172" s="399"/>
      <c r="S172" s="399">
        <v>521.86</v>
      </c>
      <c r="T172" s="399">
        <v>141.32</v>
      </c>
      <c r="U172" s="399"/>
      <c r="V172" s="399">
        <v>2109066.9209400001</v>
      </c>
      <c r="W172" s="399">
        <v>2109066.9209400001</v>
      </c>
      <c r="X172" s="399">
        <v>1648410.1708900002</v>
      </c>
      <c r="Y172" s="399">
        <v>0</v>
      </c>
      <c r="Z172" s="399">
        <v>192967.13288030701</v>
      </c>
      <c r="AA172" s="399">
        <v>0</v>
      </c>
      <c r="AB172" s="399">
        <v>0</v>
      </c>
      <c r="AC172" s="399">
        <v>0</v>
      </c>
      <c r="AD172" s="399">
        <v>342046.15110586572</v>
      </c>
      <c r="AE172" s="399">
        <v>1033419.2411837692</v>
      </c>
      <c r="AF172" s="399">
        <v>449427.12481241301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29836.921673949164</v>
      </c>
      <c r="AM172" s="399"/>
      <c r="AN172" s="399">
        <v>4410.5591933901351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56941.747516206073</v>
      </c>
      <c r="BH172" s="399">
        <v>0</v>
      </c>
      <c r="BI172" s="399">
        <v>14140.38</v>
      </c>
      <c r="BJ172" s="399">
        <v>65383.81</v>
      </c>
      <c r="BK172" s="399">
        <v>504061.69</v>
      </c>
      <c r="BL172" s="399">
        <v>5569</v>
      </c>
      <c r="BM172" s="399"/>
      <c r="BN172" s="399"/>
      <c r="BO172" s="399"/>
      <c r="BP172" s="399"/>
      <c r="BQ172" s="399"/>
      <c r="BR172" s="399">
        <v>197810.49260000003</v>
      </c>
      <c r="BS172" s="399"/>
      <c r="BT172" s="399"/>
      <c r="BU172" s="399"/>
      <c r="BV172" s="399">
        <v>506368.87232861907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1450598.3099</v>
      </c>
      <c r="CJ172" s="399">
        <v>-405353.89657000033</v>
      </c>
      <c r="CK172" s="399"/>
      <c r="CL172" s="399"/>
      <c r="CM172" s="399"/>
      <c r="CN172" s="399"/>
      <c r="CO172" s="399">
        <v>-460656.75005000009</v>
      </c>
      <c r="CP172" s="399">
        <v>0</v>
      </c>
      <c r="CQ172" s="399"/>
      <c r="CR172" s="399">
        <v>-14170.28298925492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-1629.0642818923225</v>
      </c>
      <c r="DA172" s="399">
        <v>0</v>
      </c>
      <c r="DB172" s="399">
        <v>0</v>
      </c>
      <c r="DC172" s="399">
        <v>0</v>
      </c>
      <c r="DD172" s="399">
        <v>0</v>
      </c>
      <c r="DE172" s="399">
        <v>0</v>
      </c>
      <c r="DF172" s="399">
        <v>0</v>
      </c>
      <c r="DG172" s="399">
        <v>0</v>
      </c>
      <c r="DH172" s="399">
        <v>0</v>
      </c>
      <c r="DI172" s="399">
        <v>-10872.474784383521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-1490.8973419442955</v>
      </c>
      <c r="DP172" s="399">
        <v>-177.84658103484708</v>
      </c>
      <c r="DQ172" s="399">
        <v>0</v>
      </c>
      <c r="DR172" s="399">
        <v>0</v>
      </c>
      <c r="DS172" s="399"/>
      <c r="DT172" s="399"/>
      <c r="DU172" s="399"/>
      <c r="DV172" s="399">
        <v>1033419.2411837692</v>
      </c>
      <c r="DW172" s="399">
        <v>0</v>
      </c>
      <c r="DX172" s="399">
        <v>0</v>
      </c>
      <c r="DY172" s="399">
        <v>-460656.75004999992</v>
      </c>
      <c r="DZ172" s="399">
        <v>0</v>
      </c>
      <c r="EA172" s="399">
        <v>0</v>
      </c>
      <c r="EB172" s="399">
        <v>0</v>
      </c>
      <c r="EC172" s="399">
        <v>-446457.14411625662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218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2360</v>
      </c>
      <c r="C173" s="399" t="s">
        <v>2328</v>
      </c>
      <c r="D173" s="399" t="s">
        <v>2335</v>
      </c>
      <c r="E173" s="399" t="s">
        <v>894</v>
      </c>
      <c r="F173" s="399" t="s">
        <v>1239</v>
      </c>
      <c r="G173" s="399" t="s">
        <v>1239</v>
      </c>
      <c r="H173" s="399" t="s">
        <v>1239</v>
      </c>
      <c r="I173" s="399" t="s">
        <v>1239</v>
      </c>
      <c r="J173" s="399" t="s">
        <v>2329</v>
      </c>
      <c r="K173" s="789">
        <v>44531</v>
      </c>
      <c r="L173" s="399">
        <v>0</v>
      </c>
      <c r="M173" s="399">
        <v>0</v>
      </c>
      <c r="N173" s="399">
        <v>-0.621</v>
      </c>
      <c r="O173" s="399">
        <v>-0.621</v>
      </c>
      <c r="P173" s="399">
        <v>-0.621</v>
      </c>
      <c r="Q173" s="399">
        <v>-0.621</v>
      </c>
      <c r="R173" s="399"/>
      <c r="S173" s="399">
        <v>521.86</v>
      </c>
      <c r="T173" s="399">
        <v>141.32</v>
      </c>
      <c r="U173" s="399"/>
      <c r="V173" s="399">
        <v>-411.83478000000002</v>
      </c>
      <c r="W173" s="399">
        <v>-411.83478000000002</v>
      </c>
      <c r="X173" s="399">
        <v>-321.88292999999999</v>
      </c>
      <c r="Y173" s="399">
        <v>0</v>
      </c>
      <c r="Z173" s="399">
        <v>-37.680443388478338</v>
      </c>
      <c r="AA173" s="399">
        <v>0</v>
      </c>
      <c r="AB173" s="399">
        <v>0</v>
      </c>
      <c r="AC173" s="399">
        <v>0</v>
      </c>
      <c r="AD173" s="399">
        <v>-66.790911180640734</v>
      </c>
      <c r="AE173" s="399">
        <v>-201.79444360684283</v>
      </c>
      <c r="AF173" s="399">
        <v>-87.759055549863319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-5.826217248711786</v>
      </c>
      <c r="AM173" s="399"/>
      <c r="AN173" s="399">
        <v>-0.86124421043844068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-11.118941664828951</v>
      </c>
      <c r="BH173" s="399">
        <v>0</v>
      </c>
      <c r="BI173" s="399">
        <v>-2.77</v>
      </c>
      <c r="BJ173" s="399">
        <v>-12.76</v>
      </c>
      <c r="BK173" s="399">
        <v>-63.28</v>
      </c>
      <c r="BL173" s="399">
        <v>0</v>
      </c>
      <c r="BM173" s="399"/>
      <c r="BN173" s="399"/>
      <c r="BO173" s="399"/>
      <c r="BP173" s="399"/>
      <c r="BQ173" s="399"/>
      <c r="BR173" s="399">
        <v>-38.626200000000004</v>
      </c>
      <c r="BS173" s="399"/>
      <c r="BT173" s="399"/>
      <c r="BU173" s="399"/>
      <c r="BV173" s="399">
        <v>-98.877997214692272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-282.80059999999997</v>
      </c>
      <c r="CJ173" s="399">
        <v>79.578790000000026</v>
      </c>
      <c r="CK173" s="399"/>
      <c r="CL173" s="399"/>
      <c r="CM173" s="399"/>
      <c r="CN173" s="399"/>
      <c r="CO173" s="399">
        <v>89.951850000000007</v>
      </c>
      <c r="CP173" s="399">
        <v>0</v>
      </c>
      <c r="CQ173" s="399"/>
      <c r="CR173" s="399">
        <v>2.7670129001011503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0.31810528318369791</v>
      </c>
      <c r="DA173" s="399">
        <v>0</v>
      </c>
      <c r="DB173" s="399">
        <v>0</v>
      </c>
      <c r="DC173" s="399">
        <v>0</v>
      </c>
      <c r="DD173" s="399">
        <v>0</v>
      </c>
      <c r="DE173" s="399">
        <v>0</v>
      </c>
      <c r="DF173" s="399">
        <v>0</v>
      </c>
      <c r="DG173" s="399">
        <v>0</v>
      </c>
      <c r="DH173" s="399">
        <v>0</v>
      </c>
      <c r="DI173" s="399">
        <v>2.1230541413481845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0.29112560285595634</v>
      </c>
      <c r="DP173" s="399">
        <v>3.4727872713301022E-2</v>
      </c>
      <c r="DQ173" s="399">
        <v>0</v>
      </c>
      <c r="DR173" s="399">
        <v>0</v>
      </c>
      <c r="DS173" s="399"/>
      <c r="DT173" s="399"/>
      <c r="DU173" s="399"/>
      <c r="DV173" s="399">
        <v>-201.79444360684283</v>
      </c>
      <c r="DW173" s="399">
        <v>0</v>
      </c>
      <c r="DX173" s="399">
        <v>0</v>
      </c>
      <c r="DY173" s="399">
        <v>89.951850000000007</v>
      </c>
      <c r="DZ173" s="399">
        <v>0</v>
      </c>
      <c r="EA173" s="399">
        <v>0</v>
      </c>
      <c r="EB173" s="399">
        <v>0</v>
      </c>
      <c r="EC173" s="399">
        <v>87.179111246312857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218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2361</v>
      </c>
      <c r="C174" s="399" t="s">
        <v>2328</v>
      </c>
      <c r="D174" s="399" t="s">
        <v>2335</v>
      </c>
      <c r="E174" s="399" t="s">
        <v>894</v>
      </c>
      <c r="F174" s="399" t="s">
        <v>1239</v>
      </c>
      <c r="G174" s="399" t="s">
        <v>1239</v>
      </c>
      <c r="H174" s="399" t="s">
        <v>1239</v>
      </c>
      <c r="I174" s="399" t="s">
        <v>1239</v>
      </c>
      <c r="J174" s="399" t="s">
        <v>2329</v>
      </c>
      <c r="K174" s="789">
        <v>44531</v>
      </c>
      <c r="L174" s="399">
        <v>0</v>
      </c>
      <c r="M174" s="399">
        <v>0</v>
      </c>
      <c r="N174" s="399">
        <v>181.08600000000001</v>
      </c>
      <c r="O174" s="399">
        <v>181.08600000000001</v>
      </c>
      <c r="P174" s="399">
        <v>181.08600000000001</v>
      </c>
      <c r="Q174" s="399">
        <v>181.08600000000001</v>
      </c>
      <c r="R174" s="399"/>
      <c r="S174" s="399">
        <v>521.86</v>
      </c>
      <c r="T174" s="399">
        <v>141.32</v>
      </c>
      <c r="U174" s="399"/>
      <c r="V174" s="399">
        <v>120092.61348000001</v>
      </c>
      <c r="W174" s="399">
        <v>120092.61348000001</v>
      </c>
      <c r="X174" s="399">
        <v>93862.306380000009</v>
      </c>
      <c r="Y174" s="399">
        <v>0</v>
      </c>
      <c r="Z174" s="399">
        <v>10987.76291698227</v>
      </c>
      <c r="AA174" s="399">
        <v>0</v>
      </c>
      <c r="AB174" s="399">
        <v>0</v>
      </c>
      <c r="AC174" s="399">
        <v>0</v>
      </c>
      <c r="AD174" s="399">
        <v>19476.487829400176</v>
      </c>
      <c r="AE174" s="399">
        <v>58844.039637663038</v>
      </c>
      <c r="AF174" s="399">
        <v>25590.87976377222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1698.9474665059945</v>
      </c>
      <c r="AM174" s="399"/>
      <c r="AN174" s="399">
        <v>251.14214024388966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3242.3263612193487</v>
      </c>
      <c r="BH174" s="399">
        <v>0</v>
      </c>
      <c r="BI174" s="399">
        <v>808.47</v>
      </c>
      <c r="BJ174" s="399">
        <v>3739.14</v>
      </c>
      <c r="BK174" s="399">
        <v>93449.76</v>
      </c>
      <c r="BL174" s="399">
        <v>492</v>
      </c>
      <c r="BM174" s="399"/>
      <c r="BN174" s="399"/>
      <c r="BO174" s="399"/>
      <c r="BP174" s="399"/>
      <c r="BQ174" s="399"/>
      <c r="BR174" s="399">
        <v>11263.549200000001</v>
      </c>
      <c r="BS174" s="399"/>
      <c r="BT174" s="399"/>
      <c r="BU174" s="399"/>
      <c r="BV174" s="399">
        <v>28833.206124991568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82600.581699999995</v>
      </c>
      <c r="CJ174" s="399">
        <v>-23079.427039999995</v>
      </c>
      <c r="CK174" s="399"/>
      <c r="CL174" s="399"/>
      <c r="CM174" s="399"/>
      <c r="CN174" s="399"/>
      <c r="CO174" s="399">
        <v>-26230.307100000005</v>
      </c>
      <c r="CP174" s="399">
        <v>0</v>
      </c>
      <c r="CQ174" s="399"/>
      <c r="CR174" s="399">
        <v>-806.87165543915762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-92.7607299687661</v>
      </c>
      <c r="DA174" s="399">
        <v>0</v>
      </c>
      <c r="DB174" s="399">
        <v>0</v>
      </c>
      <c r="DC174" s="399">
        <v>0</v>
      </c>
      <c r="DD174" s="399">
        <v>0</v>
      </c>
      <c r="DE174" s="399">
        <v>0</v>
      </c>
      <c r="DF174" s="399">
        <v>0</v>
      </c>
      <c r="DG174" s="399">
        <v>0</v>
      </c>
      <c r="DH174" s="399">
        <v>0</v>
      </c>
      <c r="DI174" s="399">
        <v>-619.09079265729088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-84.893350915899646</v>
      </c>
      <c r="DP174" s="399">
        <v>-10.126781897199407</v>
      </c>
      <c r="DQ174" s="399">
        <v>0</v>
      </c>
      <c r="DR174" s="399">
        <v>0</v>
      </c>
      <c r="DS174" s="399"/>
      <c r="DT174" s="399"/>
      <c r="DU174" s="399"/>
      <c r="DV174" s="399">
        <v>58844.039637663038</v>
      </c>
      <c r="DW174" s="399">
        <v>0</v>
      </c>
      <c r="DX174" s="399">
        <v>0</v>
      </c>
      <c r="DY174" s="399">
        <v>-26230.307100000005</v>
      </c>
      <c r="DZ174" s="399">
        <v>0</v>
      </c>
      <c r="EA174" s="399">
        <v>0</v>
      </c>
      <c r="EB174" s="399">
        <v>0</v>
      </c>
      <c r="EC174" s="399">
        <v>-25421.765763526273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218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2361</v>
      </c>
      <c r="C175" s="399" t="s">
        <v>2328</v>
      </c>
      <c r="D175" s="399" t="s">
        <v>2335</v>
      </c>
      <c r="E175" s="399" t="s">
        <v>894</v>
      </c>
      <c r="F175" s="399" t="s">
        <v>1239</v>
      </c>
      <c r="G175" s="399" t="s">
        <v>1239</v>
      </c>
      <c r="H175" s="399" t="s">
        <v>1239</v>
      </c>
      <c r="I175" s="399" t="s">
        <v>1239</v>
      </c>
      <c r="J175" s="399" t="s">
        <v>2329</v>
      </c>
      <c r="K175" s="789">
        <v>44531</v>
      </c>
      <c r="L175" s="399">
        <v>0</v>
      </c>
      <c r="M175" s="399">
        <v>0</v>
      </c>
      <c r="N175" s="399">
        <v>-9.7929999999999993</v>
      </c>
      <c r="O175" s="399">
        <v>-9.7929999999999993</v>
      </c>
      <c r="P175" s="399">
        <v>-9.7929999999999993</v>
      </c>
      <c r="Q175" s="399">
        <v>-9.7929999999999993</v>
      </c>
      <c r="R175" s="399"/>
      <c r="S175" s="399">
        <v>521.86</v>
      </c>
      <c r="T175" s="399">
        <v>141.32</v>
      </c>
      <c r="U175" s="399"/>
      <c r="V175" s="399">
        <v>-6494.5217399999992</v>
      </c>
      <c r="W175" s="399">
        <v>-6494.5217399999992</v>
      </c>
      <c r="X175" s="399">
        <v>-5076.00569</v>
      </c>
      <c r="Y175" s="399">
        <v>0</v>
      </c>
      <c r="Z175" s="399">
        <v>-594.21027713907949</v>
      </c>
      <c r="AA175" s="399">
        <v>0</v>
      </c>
      <c r="AB175" s="399">
        <v>0</v>
      </c>
      <c r="AC175" s="399">
        <v>0</v>
      </c>
      <c r="AD175" s="399">
        <v>-1053.2743851723262</v>
      </c>
      <c r="AE175" s="399">
        <v>-3182.2431340447856</v>
      </c>
      <c r="AF175" s="399">
        <v>-1383.9362818032389</v>
      </c>
      <c r="AG175" s="399">
        <v>0</v>
      </c>
      <c r="AH175" s="399">
        <v>0</v>
      </c>
      <c r="AI175" s="399">
        <v>0</v>
      </c>
      <c r="AJ175" s="399">
        <v>0</v>
      </c>
      <c r="AK175" s="399">
        <v>0</v>
      </c>
      <c r="AL175" s="399">
        <v>-91.877851073485544</v>
      </c>
      <c r="AM175" s="399"/>
      <c r="AN175" s="399">
        <v>-13.581585431278018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-175.34266622169068</v>
      </c>
      <c r="BH175" s="399">
        <v>0</v>
      </c>
      <c r="BI175" s="399">
        <v>-43.45</v>
      </c>
      <c r="BJ175" s="399">
        <v>-200.55</v>
      </c>
      <c r="BK175" s="399">
        <v>-2767.29</v>
      </c>
      <c r="BL175" s="399">
        <v>6</v>
      </c>
      <c r="BM175" s="399"/>
      <c r="BN175" s="399"/>
      <c r="BO175" s="399"/>
      <c r="BP175" s="399"/>
      <c r="BQ175" s="399"/>
      <c r="BR175" s="399">
        <v>-609.12459999999999</v>
      </c>
      <c r="BS175" s="399"/>
      <c r="BT175" s="399"/>
      <c r="BU175" s="399"/>
      <c r="BV175" s="399">
        <v>-1559.2789480249296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-4465.5126999999993</v>
      </c>
      <c r="CJ175" s="399">
        <v>1249.5541699999994</v>
      </c>
      <c r="CK175" s="399"/>
      <c r="CL175" s="399"/>
      <c r="CM175" s="399"/>
      <c r="CN175" s="399"/>
      <c r="CO175" s="399">
        <v>1418.5160500000002</v>
      </c>
      <c r="CP175" s="399">
        <v>0</v>
      </c>
      <c r="CQ175" s="399"/>
      <c r="CR175" s="399">
        <v>43.635035959243851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5.0164332338451914</v>
      </c>
      <c r="DA175" s="399">
        <v>0</v>
      </c>
      <c r="DB175" s="399">
        <v>0</v>
      </c>
      <c r="DC175" s="399">
        <v>0</v>
      </c>
      <c r="DD175" s="399">
        <v>0</v>
      </c>
      <c r="DE175" s="399">
        <v>0</v>
      </c>
      <c r="DF175" s="399">
        <v>0</v>
      </c>
      <c r="DG175" s="399">
        <v>0</v>
      </c>
      <c r="DH175" s="399">
        <v>0</v>
      </c>
      <c r="DI175" s="399">
        <v>33.479982618716235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4.59097106081866</v>
      </c>
      <c r="DP175" s="399">
        <v>0.54764904586370022</v>
      </c>
      <c r="DQ175" s="399">
        <v>0</v>
      </c>
      <c r="DR175" s="399">
        <v>0</v>
      </c>
      <c r="DS175" s="399"/>
      <c r="DT175" s="399"/>
      <c r="DU175" s="399"/>
      <c r="DV175" s="399">
        <v>-3182.2431340447856</v>
      </c>
      <c r="DW175" s="399">
        <v>0</v>
      </c>
      <c r="DX175" s="399">
        <v>0</v>
      </c>
      <c r="DY175" s="399">
        <v>1418.5160499999997</v>
      </c>
      <c r="DZ175" s="399">
        <v>0</v>
      </c>
      <c r="EA175" s="399">
        <v>0</v>
      </c>
      <c r="EB175" s="399">
        <v>0</v>
      </c>
      <c r="EC175" s="399">
        <v>1374.790718897169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218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2334</v>
      </c>
      <c r="D176" s="399" t="s">
        <v>533</v>
      </c>
      <c r="E176" s="399" t="s">
        <v>894</v>
      </c>
      <c r="F176" s="399" t="s">
        <v>1239</v>
      </c>
      <c r="G176" s="399" t="s">
        <v>1239</v>
      </c>
      <c r="H176" s="399" t="s">
        <v>1239</v>
      </c>
      <c r="I176" s="399" t="s">
        <v>893</v>
      </c>
      <c r="J176" s="399" t="s">
        <v>2329</v>
      </c>
      <c r="K176" s="789">
        <v>44531</v>
      </c>
      <c r="L176" s="399">
        <v>0</v>
      </c>
      <c r="M176" s="399">
        <v>0</v>
      </c>
      <c r="N176" s="399">
        <v>0.248</v>
      </c>
      <c r="O176" s="399">
        <v>0.23808000000000001</v>
      </c>
      <c r="P176" s="399">
        <v>0.248</v>
      </c>
      <c r="Q176" s="399">
        <v>0.23808000000000001</v>
      </c>
      <c r="R176" s="399"/>
      <c r="S176" s="399">
        <v>2741.05</v>
      </c>
      <c r="T176" s="399">
        <v>141.32</v>
      </c>
      <c r="U176" s="399"/>
      <c r="V176" s="399">
        <v>714.82776000000001</v>
      </c>
      <c r="W176" s="399">
        <v>714.82776000000001</v>
      </c>
      <c r="X176" s="399">
        <v>511.84223999999995</v>
      </c>
      <c r="Y176" s="399">
        <v>0</v>
      </c>
      <c r="Z176" s="399">
        <v>13.091678688402718</v>
      </c>
      <c r="AA176" s="399">
        <v>0</v>
      </c>
      <c r="AB176" s="399">
        <v>0</v>
      </c>
      <c r="AC176" s="399">
        <v>0</v>
      </c>
      <c r="AD176" s="399">
        <v>196.80324682374746</v>
      </c>
      <c r="AE176" s="399">
        <v>465.6965666475831</v>
      </c>
      <c r="AF176" s="399">
        <v>35.047094647932532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2.3267341025451258</v>
      </c>
      <c r="AM176" s="399"/>
      <c r="AN176" s="399">
        <v>0.14898411828344227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1.7144136893650297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>
        <v>20.473689599999965</v>
      </c>
      <c r="BS176" s="399"/>
      <c r="BT176" s="399"/>
      <c r="BU176" s="399"/>
      <c r="BV176" s="399">
        <v>36.761508337297563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495.33119999999997</v>
      </c>
      <c r="CJ176" s="399">
        <v>-190.93344960000002</v>
      </c>
      <c r="CK176" s="399"/>
      <c r="CL176" s="399"/>
      <c r="CM176" s="399"/>
      <c r="CN176" s="399"/>
      <c r="CO176" s="399">
        <v>-202.98552000000007</v>
      </c>
      <c r="CP176" s="399">
        <v>0</v>
      </c>
      <c r="CQ176" s="399"/>
      <c r="CR176" s="399">
        <v>-1.7972187480808088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-0.93731544390908539</v>
      </c>
      <c r="DA176" s="399">
        <v>0</v>
      </c>
      <c r="DB176" s="399">
        <v>0</v>
      </c>
      <c r="DC176" s="399">
        <v>0</v>
      </c>
      <c r="DD176" s="399">
        <v>0</v>
      </c>
      <c r="DE176" s="399">
        <v>0</v>
      </c>
      <c r="DF176" s="399">
        <v>0</v>
      </c>
      <c r="DG176" s="399">
        <v>0</v>
      </c>
      <c r="DH176" s="399">
        <v>0</v>
      </c>
      <c r="DI176" s="399">
        <v>-0.73763311036602097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-0.11626272062524556</v>
      </c>
      <c r="DP176" s="399">
        <v>-6.0074731804785342E-3</v>
      </c>
      <c r="DQ176" s="399">
        <v>0</v>
      </c>
      <c r="DR176" s="399">
        <v>0</v>
      </c>
      <c r="DS176" s="399"/>
      <c r="DT176" s="399"/>
      <c r="DU176" s="399"/>
      <c r="DV176" s="399">
        <v>465.6965666475831</v>
      </c>
      <c r="DW176" s="399">
        <v>0</v>
      </c>
      <c r="DX176" s="399">
        <v>0</v>
      </c>
      <c r="DY176" s="399">
        <v>-202.98552000000001</v>
      </c>
      <c r="DZ176" s="399">
        <v>0</v>
      </c>
      <c r="EA176" s="399">
        <v>0</v>
      </c>
      <c r="EB176" s="399">
        <v>0</v>
      </c>
      <c r="EC176" s="399">
        <v>-201.18994391091877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218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2361</v>
      </c>
      <c r="C177" s="399" t="s">
        <v>2334</v>
      </c>
      <c r="D177" s="399" t="s">
        <v>533</v>
      </c>
      <c r="E177" s="399" t="s">
        <v>894</v>
      </c>
      <c r="F177" s="399" t="s">
        <v>1239</v>
      </c>
      <c r="G177" s="399" t="s">
        <v>1239</v>
      </c>
      <c r="H177" s="399" t="s">
        <v>1239</v>
      </c>
      <c r="I177" s="399" t="s">
        <v>893</v>
      </c>
      <c r="J177" s="399" t="s">
        <v>2329</v>
      </c>
      <c r="K177" s="789">
        <v>44531</v>
      </c>
      <c r="L177" s="399">
        <v>0</v>
      </c>
      <c r="M177" s="399">
        <v>0</v>
      </c>
      <c r="N177" s="399">
        <v>2.8319999999999999</v>
      </c>
      <c r="O177" s="399">
        <v>2.7187199999999998</v>
      </c>
      <c r="P177" s="399">
        <v>2.8319999999999999</v>
      </c>
      <c r="Q177" s="399">
        <v>2.7187199999999998</v>
      </c>
      <c r="R177" s="399"/>
      <c r="S177" s="399">
        <v>2741.05</v>
      </c>
      <c r="T177" s="399">
        <v>141.32</v>
      </c>
      <c r="U177" s="399"/>
      <c r="V177" s="399">
        <v>8162.8718400000007</v>
      </c>
      <c r="W177" s="399">
        <v>8162.8718400000007</v>
      </c>
      <c r="X177" s="399">
        <v>5844.90816</v>
      </c>
      <c r="Y177" s="399">
        <v>0</v>
      </c>
      <c r="Z177" s="399">
        <v>149.49852437724394</v>
      </c>
      <c r="AA177" s="399">
        <v>0</v>
      </c>
      <c r="AB177" s="399">
        <v>0</v>
      </c>
      <c r="AC177" s="399">
        <v>0</v>
      </c>
      <c r="AD177" s="399">
        <v>2247.3661088905355</v>
      </c>
      <c r="AE177" s="399">
        <v>5317.9543417175619</v>
      </c>
      <c r="AF177" s="399">
        <v>400.21520985058436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26.569802332289498</v>
      </c>
      <c r="AM177" s="399"/>
      <c r="AN177" s="399">
        <v>1.7013025120109215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19.577498259200659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>
        <v>233.79632640000008</v>
      </c>
      <c r="BS177" s="399"/>
      <c r="BT177" s="399"/>
      <c r="BU177" s="399"/>
      <c r="BV177" s="399">
        <v>419.792708109785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5613.7536</v>
      </c>
      <c r="CJ177" s="399">
        <v>-2222.6333664000003</v>
      </c>
      <c r="CK177" s="399"/>
      <c r="CL177" s="399"/>
      <c r="CM177" s="399"/>
      <c r="CN177" s="399"/>
      <c r="CO177" s="399">
        <v>-2317.9636800000007</v>
      </c>
      <c r="CP177" s="399">
        <v>0</v>
      </c>
      <c r="CQ177" s="399"/>
      <c r="CR177" s="399">
        <v>-20.523078607116531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-10.703537649800637</v>
      </c>
      <c r="DA177" s="399">
        <v>0</v>
      </c>
      <c r="DB177" s="399">
        <v>0</v>
      </c>
      <c r="DC177" s="399">
        <v>0</v>
      </c>
      <c r="DD177" s="399">
        <v>0</v>
      </c>
      <c r="DE177" s="399">
        <v>0</v>
      </c>
      <c r="DF177" s="399">
        <v>0</v>
      </c>
      <c r="DG177" s="399">
        <v>0</v>
      </c>
      <c r="DH177" s="399">
        <v>0</v>
      </c>
      <c r="DI177" s="399">
        <v>-8.4232942280506791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-1.3276452613334442</v>
      </c>
      <c r="DP177" s="399">
        <v>-6.860146793191646E-2</v>
      </c>
      <c r="DQ177" s="399">
        <v>0</v>
      </c>
      <c r="DR177" s="399">
        <v>0</v>
      </c>
      <c r="DS177" s="399"/>
      <c r="DT177" s="399"/>
      <c r="DU177" s="399"/>
      <c r="DV177" s="399">
        <v>5317.9543417175619</v>
      </c>
      <c r="DW177" s="399">
        <v>0</v>
      </c>
      <c r="DX177" s="399">
        <v>0</v>
      </c>
      <c r="DY177" s="399">
        <v>-2317.9636800000007</v>
      </c>
      <c r="DZ177" s="399">
        <v>0</v>
      </c>
      <c r="EA177" s="399">
        <v>0</v>
      </c>
      <c r="EB177" s="399">
        <v>0</v>
      </c>
      <c r="EC177" s="399">
        <v>-2297.4593594988792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218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2334</v>
      </c>
      <c r="D178" s="399" t="s">
        <v>533</v>
      </c>
      <c r="E178" s="399" t="s">
        <v>894</v>
      </c>
      <c r="F178" s="399" t="s">
        <v>1239</v>
      </c>
      <c r="G178" s="399" t="s">
        <v>1239</v>
      </c>
      <c r="H178" s="399" t="s">
        <v>1239</v>
      </c>
      <c r="I178" s="399" t="s">
        <v>2326</v>
      </c>
      <c r="J178" s="399" t="s">
        <v>2329</v>
      </c>
      <c r="K178" s="789">
        <v>44531</v>
      </c>
      <c r="L178" s="399">
        <v>0</v>
      </c>
      <c r="M178" s="399">
        <v>0</v>
      </c>
      <c r="N178" s="399">
        <v>1.9530000000000001</v>
      </c>
      <c r="O178" s="399">
        <v>1.8748800000000001</v>
      </c>
      <c r="P178" s="399">
        <v>1.9530000000000001</v>
      </c>
      <c r="Q178" s="399">
        <v>1.8748800000000001</v>
      </c>
      <c r="R178" s="399"/>
      <c r="S178" s="399">
        <v>69.680000000000007</v>
      </c>
      <c r="T178" s="399">
        <v>141.32</v>
      </c>
      <c r="U178" s="399"/>
      <c r="V178" s="399">
        <v>412.08299999999997</v>
      </c>
      <c r="W178" s="399">
        <v>412.08299999999997</v>
      </c>
      <c r="X178" s="399">
        <v>405.32561999999996</v>
      </c>
      <c r="Y178" s="399">
        <v>0</v>
      </c>
      <c r="Z178" s="399">
        <v>103.09696967117141</v>
      </c>
      <c r="AA178" s="399">
        <v>0</v>
      </c>
      <c r="AB178" s="399">
        <v>0</v>
      </c>
      <c r="AC178" s="399">
        <v>0</v>
      </c>
      <c r="AD178" s="399">
        <v>0</v>
      </c>
      <c r="AE178" s="399">
        <v>0</v>
      </c>
      <c r="AF178" s="399">
        <v>275.99587035246867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18.323031057542863</v>
      </c>
      <c r="AM178" s="399"/>
      <c r="AN178" s="399">
        <v>1.1732499314821081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13.501007803749609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>
        <v>16.213024799999992</v>
      </c>
      <c r="BS178" s="399"/>
      <c r="BT178" s="399"/>
      <c r="BU178" s="399"/>
      <c r="BV178" s="399">
        <v>289.49687815621826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388.09979999999996</v>
      </c>
      <c r="CJ178" s="399">
        <v>-7.5298800000000483</v>
      </c>
      <c r="CK178" s="399"/>
      <c r="CL178" s="399"/>
      <c r="CM178" s="399"/>
      <c r="CN178" s="399"/>
      <c r="CO178" s="399">
        <v>-6.7573800000000155</v>
      </c>
      <c r="CP178" s="399">
        <v>0</v>
      </c>
      <c r="CQ178" s="399"/>
      <c r="CR178" s="399">
        <v>-6.7717385203525282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0</v>
      </c>
      <c r="DA178" s="399">
        <v>0</v>
      </c>
      <c r="DB178" s="399">
        <v>0</v>
      </c>
      <c r="DC178" s="399">
        <v>0</v>
      </c>
      <c r="DD178" s="399">
        <v>0</v>
      </c>
      <c r="DE178" s="399">
        <v>0</v>
      </c>
      <c r="DF178" s="399">
        <v>0</v>
      </c>
      <c r="DG178" s="399">
        <v>0</v>
      </c>
      <c r="DH178" s="399">
        <v>0</v>
      </c>
      <c r="DI178" s="399">
        <v>-5.8088607441324172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-0.91556892492380371</v>
      </c>
      <c r="DP178" s="399">
        <v>-4.7308851296268717E-2</v>
      </c>
      <c r="DQ178" s="399">
        <v>0</v>
      </c>
      <c r="DR178" s="399">
        <v>0</v>
      </c>
      <c r="DS178" s="399"/>
      <c r="DT178" s="399"/>
      <c r="DU178" s="399"/>
      <c r="DV178" s="399">
        <v>0</v>
      </c>
      <c r="DW178" s="399">
        <v>0</v>
      </c>
      <c r="DX178" s="399">
        <v>0</v>
      </c>
      <c r="DY178" s="399">
        <v>-6.7573800000000119</v>
      </c>
      <c r="DZ178" s="399">
        <v>0</v>
      </c>
      <c r="EA178" s="399">
        <v>0</v>
      </c>
      <c r="EB178" s="399">
        <v>0</v>
      </c>
      <c r="EC178" s="399">
        <v>0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218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2361</v>
      </c>
      <c r="C179" s="399" t="s">
        <v>2334</v>
      </c>
      <c r="D179" s="399" t="s">
        <v>533</v>
      </c>
      <c r="E179" s="399" t="s">
        <v>894</v>
      </c>
      <c r="F179" s="399" t="s">
        <v>1239</v>
      </c>
      <c r="G179" s="399" t="s">
        <v>1239</v>
      </c>
      <c r="H179" s="399" t="s">
        <v>1239</v>
      </c>
      <c r="I179" s="399" t="s">
        <v>2326</v>
      </c>
      <c r="J179" s="399" t="s">
        <v>2329</v>
      </c>
      <c r="K179" s="789">
        <v>44531</v>
      </c>
      <c r="L179" s="399">
        <v>0</v>
      </c>
      <c r="M179" s="399">
        <v>0</v>
      </c>
      <c r="N179" s="399">
        <v>41.04</v>
      </c>
      <c r="O179" s="399">
        <v>39.398400000000002</v>
      </c>
      <c r="P179" s="399">
        <v>41.04</v>
      </c>
      <c r="Q179" s="399">
        <v>39.398400000000002</v>
      </c>
      <c r="R179" s="399"/>
      <c r="S179" s="399">
        <v>69.680000000000007</v>
      </c>
      <c r="T179" s="399">
        <v>141.32</v>
      </c>
      <c r="U179" s="399"/>
      <c r="V179" s="399">
        <v>8659.44</v>
      </c>
      <c r="W179" s="399">
        <v>8659.44</v>
      </c>
      <c r="X179" s="399">
        <v>8517.4416000000001</v>
      </c>
      <c r="Y179" s="399">
        <v>0</v>
      </c>
      <c r="Z179" s="399">
        <v>2166.4616668227723</v>
      </c>
      <c r="AA179" s="399">
        <v>0</v>
      </c>
      <c r="AB179" s="399">
        <v>0</v>
      </c>
      <c r="AC179" s="399">
        <v>0</v>
      </c>
      <c r="AD179" s="399">
        <v>0</v>
      </c>
      <c r="AE179" s="399">
        <v>0</v>
      </c>
      <c r="AF179" s="399">
        <v>5799.7288885127055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385.03696600182241</v>
      </c>
      <c r="AM179" s="399"/>
      <c r="AN179" s="399">
        <v>24.654468606259965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283.70781375621294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>
        <v>340.69766399999935</v>
      </c>
      <c r="BS179" s="399"/>
      <c r="BT179" s="399"/>
      <c r="BU179" s="399"/>
      <c r="BV179" s="399">
        <v>6083.4367022689185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8177.0759999999991</v>
      </c>
      <c r="CJ179" s="399">
        <v>-136.01640000000225</v>
      </c>
      <c r="CK179" s="399"/>
      <c r="CL179" s="399"/>
      <c r="CM179" s="399"/>
      <c r="CN179" s="399"/>
      <c r="CO179" s="399">
        <v>-141.99840000000032</v>
      </c>
      <c r="CP179" s="399">
        <v>0</v>
      </c>
      <c r="CQ179" s="399"/>
      <c r="CR179" s="399">
        <v>-142.30012743229236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0</v>
      </c>
      <c r="DA179" s="399">
        <v>0</v>
      </c>
      <c r="DB179" s="399">
        <v>0</v>
      </c>
      <c r="DC179" s="399">
        <v>0</v>
      </c>
      <c r="DD179" s="399">
        <v>0</v>
      </c>
      <c r="DE179" s="399">
        <v>0</v>
      </c>
      <c r="DF179" s="399">
        <v>0</v>
      </c>
      <c r="DG179" s="399">
        <v>0</v>
      </c>
      <c r="DH179" s="399">
        <v>0</v>
      </c>
      <c r="DI179" s="399">
        <v>-122.06638245734462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-19.239605058306722</v>
      </c>
      <c r="DP179" s="399">
        <v>-0.99413991664048496</v>
      </c>
      <c r="DQ179" s="399">
        <v>0</v>
      </c>
      <c r="DR179" s="399">
        <v>0</v>
      </c>
      <c r="DS179" s="399"/>
      <c r="DT179" s="399"/>
      <c r="DU179" s="399"/>
      <c r="DV179" s="399">
        <v>0</v>
      </c>
      <c r="DW179" s="399">
        <v>0</v>
      </c>
      <c r="DX179" s="399">
        <v>0</v>
      </c>
      <c r="DY179" s="399">
        <v>-141.9984000000004</v>
      </c>
      <c r="DZ179" s="399">
        <v>0</v>
      </c>
      <c r="EA179" s="399">
        <v>0</v>
      </c>
      <c r="EB179" s="399">
        <v>0</v>
      </c>
      <c r="EC179" s="399">
        <v>0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218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2334</v>
      </c>
      <c r="D180" s="399" t="s">
        <v>533</v>
      </c>
      <c r="E180" s="399" t="s">
        <v>894</v>
      </c>
      <c r="F180" s="399" t="s">
        <v>1239</v>
      </c>
      <c r="G180" s="399" t="s">
        <v>1239</v>
      </c>
      <c r="H180" s="399" t="s">
        <v>1239</v>
      </c>
      <c r="I180" s="399" t="s">
        <v>1239</v>
      </c>
      <c r="J180" s="399" t="s">
        <v>2329</v>
      </c>
      <c r="K180" s="789">
        <v>44531</v>
      </c>
      <c r="L180" s="399">
        <v>90</v>
      </c>
      <c r="M180" s="399">
        <v>86.4</v>
      </c>
      <c r="N180" s="399">
        <v>0</v>
      </c>
      <c r="O180" s="399">
        <v>0</v>
      </c>
      <c r="P180" s="399">
        <v>0</v>
      </c>
      <c r="Q180" s="399">
        <v>0</v>
      </c>
      <c r="R180" s="399">
        <v>35.15</v>
      </c>
      <c r="S180" s="399"/>
      <c r="T180" s="399"/>
      <c r="U180" s="399">
        <v>3163.5</v>
      </c>
      <c r="V180" s="399"/>
      <c r="W180" s="399">
        <v>3163.5</v>
      </c>
      <c r="X180" s="399">
        <v>2309.4</v>
      </c>
      <c r="Y180" s="399">
        <v>0</v>
      </c>
      <c r="Z180" s="399">
        <v>0</v>
      </c>
      <c r="AA180" s="399">
        <v>0</v>
      </c>
      <c r="AB180" s="399">
        <v>0</v>
      </c>
      <c r="AC180" s="399">
        <v>0</v>
      </c>
      <c r="AD180" s="399">
        <v>1199.8235963272409</v>
      </c>
      <c r="AE180" s="399">
        <v>1963.6179499154971</v>
      </c>
      <c r="AF180" s="399"/>
      <c r="AG180" s="399"/>
      <c r="AH180" s="399"/>
      <c r="AI180" s="399">
        <v>0</v>
      </c>
      <c r="AJ180" s="399">
        <v>0</v>
      </c>
      <c r="AK180" s="399">
        <v>0</v>
      </c>
      <c r="AL180" s="399">
        <v>0</v>
      </c>
      <c r="AM180" s="399"/>
      <c r="AN180" s="399">
        <v>0</v>
      </c>
      <c r="AO180" s="399">
        <v>0</v>
      </c>
      <c r="AP180" s="399">
        <v>0</v>
      </c>
      <c r="AQ180" s="399">
        <v>0</v>
      </c>
      <c r="AR180" s="399">
        <v>0</v>
      </c>
      <c r="AS180" s="399"/>
      <c r="AT180" s="399"/>
      <c r="AU180" s="399">
        <v>0</v>
      </c>
      <c r="AV180" s="399">
        <v>0</v>
      </c>
      <c r="AW180" s="399">
        <v>0</v>
      </c>
      <c r="AX180" s="399"/>
      <c r="AY180" s="399"/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/>
      <c r="BG180" s="399">
        <v>0</v>
      </c>
      <c r="BH180" s="399">
        <v>0</v>
      </c>
      <c r="BI180" s="399">
        <v>23.87</v>
      </c>
      <c r="BJ180" s="399">
        <v>110.2</v>
      </c>
      <c r="BK180" s="399">
        <v>620.49</v>
      </c>
      <c r="BL180" s="399">
        <v>1</v>
      </c>
      <c r="BM180" s="399"/>
      <c r="BN180" s="399"/>
      <c r="BO180" s="399"/>
      <c r="BP180" s="399"/>
      <c r="BQ180" s="399"/>
      <c r="BR180" s="399">
        <v>92.375999999999848</v>
      </c>
      <c r="BS180" s="399"/>
      <c r="BT180" s="399"/>
      <c r="BU180" s="399"/>
      <c r="BV180" s="399">
        <v>0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2217.0240000000003</v>
      </c>
      <c r="CJ180" s="399">
        <v>-819.96600000000035</v>
      </c>
      <c r="CK180" s="399"/>
      <c r="CL180" s="399"/>
      <c r="CM180" s="399"/>
      <c r="CN180" s="399"/>
      <c r="CO180" s="399">
        <v>-854.09999999999991</v>
      </c>
      <c r="CP180" s="399">
        <v>0</v>
      </c>
      <c r="CQ180" s="399"/>
      <c r="CR180" s="399">
        <v>-5.7144036236848024</v>
      </c>
      <c r="CS180" s="399">
        <v>0</v>
      </c>
      <c r="CT180" s="399">
        <v>0</v>
      </c>
      <c r="CU180" s="399">
        <v>0</v>
      </c>
      <c r="CV180" s="399">
        <v>0</v>
      </c>
      <c r="CW180" s="399"/>
      <c r="CX180" s="399"/>
      <c r="CY180" s="399"/>
      <c r="CZ180" s="399">
        <v>-5.7144036236848024</v>
      </c>
      <c r="DA180" s="399">
        <v>0</v>
      </c>
      <c r="DB180" s="399">
        <v>0</v>
      </c>
      <c r="DC180" s="399"/>
      <c r="DD180" s="399"/>
      <c r="DE180" s="399">
        <v>0</v>
      </c>
      <c r="DF180" s="399">
        <v>0</v>
      </c>
      <c r="DG180" s="399">
        <v>0</v>
      </c>
      <c r="DH180" s="399">
        <v>0</v>
      </c>
      <c r="DI180" s="399">
        <v>0</v>
      </c>
      <c r="DJ180" s="399"/>
      <c r="DK180" s="399">
        <v>0</v>
      </c>
      <c r="DL180" s="399">
        <v>0</v>
      </c>
      <c r="DM180" s="399"/>
      <c r="DN180" s="399">
        <v>0</v>
      </c>
      <c r="DO180" s="399">
        <v>0</v>
      </c>
      <c r="DP180" s="399">
        <v>0</v>
      </c>
      <c r="DQ180" s="399">
        <v>0</v>
      </c>
      <c r="DR180" s="399">
        <v>0</v>
      </c>
      <c r="DS180" s="399"/>
      <c r="DT180" s="399"/>
      <c r="DU180" s="399">
        <v>1963.6179499154971</v>
      </c>
      <c r="DV180" s="399"/>
      <c r="DW180" s="399">
        <v>0</v>
      </c>
      <c r="DX180" s="399">
        <v>0</v>
      </c>
      <c r="DY180" s="399">
        <v>-854.09999999999991</v>
      </c>
      <c r="DZ180" s="399"/>
      <c r="EA180" s="399">
        <v>0</v>
      </c>
      <c r="EB180" s="399"/>
      <c r="EC180" s="399">
        <v>-848.32101737381709</v>
      </c>
      <c r="ED180" s="399"/>
      <c r="EE180" s="399">
        <v>0</v>
      </c>
      <c r="EF180" s="399">
        <v>0</v>
      </c>
      <c r="EG180" s="399"/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/>
      <c r="EN180" s="399"/>
      <c r="EO180" s="399">
        <v>0</v>
      </c>
      <c r="EP180" s="399">
        <v>0</v>
      </c>
      <c r="EQ180" s="399"/>
      <c r="ER180" s="399">
        <v>0</v>
      </c>
      <c r="ES180" s="399"/>
      <c r="ET180" s="399">
        <v>0</v>
      </c>
      <c r="EU180" s="399"/>
      <c r="EV180" s="399">
        <v>218</v>
      </c>
      <c r="EW180" s="399"/>
      <c r="EX180" s="399"/>
      <c r="EY180" s="399"/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2361</v>
      </c>
      <c r="C181" s="399" t="s">
        <v>2334</v>
      </c>
      <c r="D181" s="399" t="s">
        <v>533</v>
      </c>
      <c r="E181" s="399" t="s">
        <v>894</v>
      </c>
      <c r="F181" s="399" t="s">
        <v>1239</v>
      </c>
      <c r="G181" s="399" t="s">
        <v>1239</v>
      </c>
      <c r="H181" s="399" t="s">
        <v>1239</v>
      </c>
      <c r="I181" s="399" t="s">
        <v>1239</v>
      </c>
      <c r="J181" s="399" t="s">
        <v>2329</v>
      </c>
      <c r="K181" s="789">
        <v>44531</v>
      </c>
      <c r="L181" s="399">
        <v>279</v>
      </c>
      <c r="M181" s="399">
        <v>267.83999999999997</v>
      </c>
      <c r="N181" s="399">
        <v>0</v>
      </c>
      <c r="O181" s="399">
        <v>0</v>
      </c>
      <c r="P181" s="399">
        <v>0</v>
      </c>
      <c r="Q181" s="399">
        <v>0</v>
      </c>
      <c r="R181" s="399">
        <v>35.15</v>
      </c>
      <c r="S181" s="399"/>
      <c r="T181" s="399"/>
      <c r="U181" s="399">
        <v>9806.85</v>
      </c>
      <c r="V181" s="399"/>
      <c r="W181" s="399">
        <v>9806.85</v>
      </c>
      <c r="X181" s="399">
        <v>7159.14</v>
      </c>
      <c r="Y181" s="399">
        <v>0</v>
      </c>
      <c r="Z181" s="399">
        <v>0</v>
      </c>
      <c r="AA181" s="399">
        <v>0</v>
      </c>
      <c r="AB181" s="399">
        <v>0</v>
      </c>
      <c r="AC181" s="399">
        <v>0</v>
      </c>
      <c r="AD181" s="399">
        <v>3719.4531486144469</v>
      </c>
      <c r="AE181" s="399">
        <v>6087.2156447380403</v>
      </c>
      <c r="AF181" s="399"/>
      <c r="AG181" s="399"/>
      <c r="AH181" s="399"/>
      <c r="AI181" s="399">
        <v>0</v>
      </c>
      <c r="AJ181" s="399">
        <v>0</v>
      </c>
      <c r="AK181" s="399">
        <v>0</v>
      </c>
      <c r="AL181" s="399">
        <v>0</v>
      </c>
      <c r="AM181" s="399"/>
      <c r="AN181" s="399">
        <v>0</v>
      </c>
      <c r="AO181" s="399">
        <v>0</v>
      </c>
      <c r="AP181" s="399">
        <v>0</v>
      </c>
      <c r="AQ181" s="399">
        <v>0</v>
      </c>
      <c r="AR181" s="399">
        <v>0</v>
      </c>
      <c r="AS181" s="399"/>
      <c r="AT181" s="399"/>
      <c r="AU181" s="399">
        <v>0</v>
      </c>
      <c r="AV181" s="399">
        <v>0</v>
      </c>
      <c r="AW181" s="399">
        <v>0</v>
      </c>
      <c r="AX181" s="399"/>
      <c r="AY181" s="399"/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/>
      <c r="BG181" s="399">
        <v>0</v>
      </c>
      <c r="BH181" s="399">
        <v>0</v>
      </c>
      <c r="BI181" s="399">
        <v>205.53</v>
      </c>
      <c r="BJ181" s="399">
        <v>948.63</v>
      </c>
      <c r="BK181" s="399">
        <v>12715.58</v>
      </c>
      <c r="BL181" s="399">
        <v>2</v>
      </c>
      <c r="BM181" s="399"/>
      <c r="BN181" s="399"/>
      <c r="BO181" s="399"/>
      <c r="BP181" s="399"/>
      <c r="BQ181" s="399"/>
      <c r="BR181" s="399">
        <v>286.36560000000065</v>
      </c>
      <c r="BS181" s="399"/>
      <c r="BT181" s="399"/>
      <c r="BU181" s="399"/>
      <c r="BV181" s="399">
        <v>0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6872.7743999999993</v>
      </c>
      <c r="CJ181" s="399">
        <v>-2541.8316000000004</v>
      </c>
      <c r="CK181" s="399"/>
      <c r="CL181" s="399"/>
      <c r="CM181" s="399"/>
      <c r="CN181" s="399"/>
      <c r="CO181" s="399">
        <v>-2647.7099999999996</v>
      </c>
      <c r="CP181" s="399">
        <v>0</v>
      </c>
      <c r="CQ181" s="399"/>
      <c r="CR181" s="399">
        <v>-17.714651233422956</v>
      </c>
      <c r="CS181" s="399">
        <v>0</v>
      </c>
      <c r="CT181" s="399">
        <v>0</v>
      </c>
      <c r="CU181" s="399">
        <v>0</v>
      </c>
      <c r="CV181" s="399">
        <v>0</v>
      </c>
      <c r="CW181" s="399"/>
      <c r="CX181" s="399"/>
      <c r="CY181" s="399"/>
      <c r="CZ181" s="399">
        <v>-17.714651233422956</v>
      </c>
      <c r="DA181" s="399">
        <v>0</v>
      </c>
      <c r="DB181" s="399">
        <v>0</v>
      </c>
      <c r="DC181" s="399"/>
      <c r="DD181" s="399"/>
      <c r="DE181" s="399">
        <v>0</v>
      </c>
      <c r="DF181" s="399">
        <v>0</v>
      </c>
      <c r="DG181" s="399">
        <v>0</v>
      </c>
      <c r="DH181" s="399">
        <v>0</v>
      </c>
      <c r="DI181" s="399">
        <v>0</v>
      </c>
      <c r="DJ181" s="399"/>
      <c r="DK181" s="399">
        <v>0</v>
      </c>
      <c r="DL181" s="399">
        <v>0</v>
      </c>
      <c r="DM181" s="399"/>
      <c r="DN181" s="399">
        <v>0</v>
      </c>
      <c r="DO181" s="399">
        <v>0</v>
      </c>
      <c r="DP181" s="399">
        <v>0</v>
      </c>
      <c r="DQ181" s="399">
        <v>0</v>
      </c>
      <c r="DR181" s="399">
        <v>0</v>
      </c>
      <c r="DS181" s="399"/>
      <c r="DT181" s="399"/>
      <c r="DU181" s="399">
        <v>6087.2156447380403</v>
      </c>
      <c r="DV181" s="399"/>
      <c r="DW181" s="399">
        <v>0</v>
      </c>
      <c r="DX181" s="399">
        <v>0</v>
      </c>
      <c r="DY181" s="399">
        <v>-2647.71</v>
      </c>
      <c r="DZ181" s="399"/>
      <c r="EA181" s="399">
        <v>0</v>
      </c>
      <c r="EB181" s="399"/>
      <c r="EC181" s="399">
        <v>-2629.7951538588327</v>
      </c>
      <c r="ED181" s="399"/>
      <c r="EE181" s="399">
        <v>0</v>
      </c>
      <c r="EF181" s="399">
        <v>0</v>
      </c>
      <c r="EG181" s="399"/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/>
      <c r="EN181" s="399"/>
      <c r="EO181" s="399">
        <v>0</v>
      </c>
      <c r="EP181" s="399">
        <v>0</v>
      </c>
      <c r="EQ181" s="399"/>
      <c r="ER181" s="399">
        <v>0</v>
      </c>
      <c r="ES181" s="399"/>
      <c r="ET181" s="399">
        <v>0</v>
      </c>
      <c r="EU181" s="399"/>
      <c r="EV181" s="399">
        <v>218</v>
      </c>
      <c r="EW181" s="399"/>
      <c r="EX181" s="399"/>
      <c r="EY181" s="399"/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2328</v>
      </c>
      <c r="D182" s="399" t="s">
        <v>1826</v>
      </c>
      <c r="E182" s="399" t="s">
        <v>2336</v>
      </c>
      <c r="F182" s="399" t="s">
        <v>1239</v>
      </c>
      <c r="G182" s="399" t="s">
        <v>1239</v>
      </c>
      <c r="H182" s="399" t="s">
        <v>1239</v>
      </c>
      <c r="I182" s="399" t="s">
        <v>1239</v>
      </c>
      <c r="J182" s="399" t="s">
        <v>2329</v>
      </c>
      <c r="K182" s="789">
        <v>44531</v>
      </c>
      <c r="L182" s="399">
        <v>0</v>
      </c>
      <c r="M182" s="399">
        <v>0</v>
      </c>
      <c r="N182" s="399">
        <v>129.02600000000001</v>
      </c>
      <c r="O182" s="399">
        <v>129.02600000000001</v>
      </c>
      <c r="P182" s="399">
        <v>129.02600000000001</v>
      </c>
      <c r="Q182" s="399">
        <v>129.02600000000001</v>
      </c>
      <c r="R182" s="399"/>
      <c r="S182" s="399">
        <v>521.86</v>
      </c>
      <c r="T182" s="399">
        <v>141.32</v>
      </c>
      <c r="U182" s="399"/>
      <c r="V182" s="399">
        <v>85567.462680000011</v>
      </c>
      <c r="W182" s="399">
        <v>85567.462680000011</v>
      </c>
      <c r="X182" s="399">
        <v>66878.046580000009</v>
      </c>
      <c r="Y182" s="399">
        <v>0</v>
      </c>
      <c r="Z182" s="399">
        <v>7828.9160847694156</v>
      </c>
      <c r="AA182" s="399">
        <v>0</v>
      </c>
      <c r="AB182" s="399">
        <v>0</v>
      </c>
      <c r="AC182" s="399">
        <v>0</v>
      </c>
      <c r="AD182" s="399">
        <v>13877.23688565757</v>
      </c>
      <c r="AE182" s="399">
        <v>41927.101257353475</v>
      </c>
      <c r="AF182" s="399">
        <v>18233.816266307029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1210.5209448184976</v>
      </c>
      <c r="AM182" s="399"/>
      <c r="AN182" s="399">
        <v>178.94186070214212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2310.1973707668603</v>
      </c>
      <c r="BH182" s="399">
        <v>0</v>
      </c>
      <c r="BI182" s="399">
        <v>573.97</v>
      </c>
      <c r="BJ182" s="399">
        <v>2652.7</v>
      </c>
      <c r="BK182" s="399">
        <v>22643.39</v>
      </c>
      <c r="BL182" s="399">
        <v>160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20544.013637073891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66880.119899999991</v>
      </c>
      <c r="CJ182" s="399">
        <v>-18687.372780000005</v>
      </c>
      <c r="CK182" s="399"/>
      <c r="CL182" s="399"/>
      <c r="CM182" s="399"/>
      <c r="CN182" s="399"/>
      <c r="CO182" s="399">
        <v>-18689.416100000006</v>
      </c>
      <c r="CP182" s="399">
        <v>0</v>
      </c>
      <c r="CQ182" s="399"/>
      <c r="CR182" s="399">
        <v>-574.90596851601731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-66.093159851947348</v>
      </c>
      <c r="DA182" s="399">
        <v>0</v>
      </c>
      <c r="DB182" s="399">
        <v>0</v>
      </c>
      <c r="DC182" s="399">
        <v>0</v>
      </c>
      <c r="DD182" s="399">
        <v>0</v>
      </c>
      <c r="DE182" s="399">
        <v>0</v>
      </c>
      <c r="DF182" s="399">
        <v>0</v>
      </c>
      <c r="DG182" s="399">
        <v>0</v>
      </c>
      <c r="DH182" s="399">
        <v>0</v>
      </c>
      <c r="DI182" s="399">
        <v>-441.1097965243016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-60.487555610455274</v>
      </c>
      <c r="DP182" s="399">
        <v>-7.2154565293178621</v>
      </c>
      <c r="DQ182" s="399">
        <v>0</v>
      </c>
      <c r="DR182" s="399">
        <v>0</v>
      </c>
      <c r="DS182" s="399"/>
      <c r="DT182" s="399"/>
      <c r="DU182" s="399"/>
      <c r="DV182" s="399">
        <v>41927.101257353475</v>
      </c>
      <c r="DW182" s="399">
        <v>0</v>
      </c>
      <c r="DX182" s="399">
        <v>0</v>
      </c>
      <c r="DY182" s="399">
        <v>-18689.416100000002</v>
      </c>
      <c r="DZ182" s="399">
        <v>0</v>
      </c>
      <c r="EA182" s="399">
        <v>0</v>
      </c>
      <c r="EB182" s="399">
        <v>0</v>
      </c>
      <c r="EC182" s="399">
        <v>-18113.32046323151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218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956</v>
      </c>
      <c r="C183" s="399" t="s">
        <v>2328</v>
      </c>
      <c r="D183" s="399" t="s">
        <v>2337</v>
      </c>
      <c r="E183" s="399" t="s">
        <v>2338</v>
      </c>
      <c r="F183" s="399" t="s">
        <v>2339</v>
      </c>
      <c r="G183" s="399" t="s">
        <v>1239</v>
      </c>
      <c r="H183" s="399" t="s">
        <v>1239</v>
      </c>
      <c r="I183" s="399" t="s">
        <v>1239</v>
      </c>
      <c r="J183" s="399" t="s">
        <v>2329</v>
      </c>
      <c r="K183" s="789">
        <v>44531</v>
      </c>
      <c r="L183" s="399">
        <v>0</v>
      </c>
      <c r="M183" s="399">
        <v>0</v>
      </c>
      <c r="N183" s="399">
        <v>78.085999999999999</v>
      </c>
      <c r="O183" s="399">
        <v>78.085999999999999</v>
      </c>
      <c r="P183" s="399">
        <v>78.085999999999999</v>
      </c>
      <c r="Q183" s="399">
        <v>78.085999999999999</v>
      </c>
      <c r="R183" s="399"/>
      <c r="S183" s="399">
        <v>287.02</v>
      </c>
      <c r="T183" s="399">
        <v>77.73</v>
      </c>
      <c r="U183" s="399"/>
      <c r="V183" s="399">
        <v>28481.868499999997</v>
      </c>
      <c r="W183" s="399">
        <v>28481.868499999997</v>
      </c>
      <c r="X183" s="399">
        <v>22261.53774</v>
      </c>
      <c r="Y183" s="399">
        <v>0</v>
      </c>
      <c r="Z183" s="399">
        <v>2605.9151470821157</v>
      </c>
      <c r="AA183" s="399">
        <v>0</v>
      </c>
      <c r="AB183" s="399">
        <v>0</v>
      </c>
      <c r="AC183" s="399">
        <v>0</v>
      </c>
      <c r="AD183" s="399">
        <v>4619.1454102227717</v>
      </c>
      <c r="AE183" s="399">
        <v>13955.759272006702</v>
      </c>
      <c r="AF183" s="399">
        <v>6069.2664837627208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402.93124000901764</v>
      </c>
      <c r="AM183" s="399"/>
      <c r="AN183" s="399">
        <v>59.56217951523827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768.96702634767735</v>
      </c>
      <c r="BH183" s="399">
        <v>0</v>
      </c>
      <c r="BI183" s="399">
        <v>224.96</v>
      </c>
      <c r="BJ183" s="399">
        <v>1038.3699999999999</v>
      </c>
      <c r="BK183" s="399">
        <v>11537.62</v>
      </c>
      <c r="BL183" s="399">
        <v>7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6838.2335101103981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22262.678100000001</v>
      </c>
      <c r="CJ183" s="399">
        <v>-6219.2203999999911</v>
      </c>
      <c r="CK183" s="399"/>
      <c r="CL183" s="399"/>
      <c r="CM183" s="399"/>
      <c r="CN183" s="399"/>
      <c r="CO183" s="399">
        <v>-6220.3307599999971</v>
      </c>
      <c r="CP183" s="399">
        <v>0</v>
      </c>
      <c r="CQ183" s="399"/>
      <c r="CR183" s="399">
        <v>-191.3618890894104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-21.99961840335709</v>
      </c>
      <c r="DA183" s="399">
        <v>0</v>
      </c>
      <c r="DB183" s="399">
        <v>0</v>
      </c>
      <c r="DC183" s="399">
        <v>0</v>
      </c>
      <c r="DD183" s="399">
        <v>0</v>
      </c>
      <c r="DE183" s="399">
        <v>0</v>
      </c>
      <c r="DF183" s="399">
        <v>0</v>
      </c>
      <c r="DG183" s="399">
        <v>0</v>
      </c>
      <c r="DH183" s="399">
        <v>0</v>
      </c>
      <c r="DI183" s="399">
        <v>-146.82680052290016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-20.133749764148206</v>
      </c>
      <c r="DP183" s="399">
        <v>-2.4017203990018459</v>
      </c>
      <c r="DQ183" s="399">
        <v>0</v>
      </c>
      <c r="DR183" s="399">
        <v>0</v>
      </c>
      <c r="DS183" s="399"/>
      <c r="DT183" s="399"/>
      <c r="DU183" s="399"/>
      <c r="DV183" s="399">
        <v>13955.759272006702</v>
      </c>
      <c r="DW183" s="399">
        <v>0</v>
      </c>
      <c r="DX183" s="399">
        <v>0</v>
      </c>
      <c r="DY183" s="399">
        <v>-6220.3307599999971</v>
      </c>
      <c r="DZ183" s="399">
        <v>0</v>
      </c>
      <c r="EA183" s="399">
        <v>0</v>
      </c>
      <c r="EB183" s="399">
        <v>0</v>
      </c>
      <c r="EC183" s="399">
        <v>-6029.1585256502221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218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956</v>
      </c>
      <c r="C184" s="399" t="s">
        <v>2328</v>
      </c>
      <c r="D184" s="399" t="s">
        <v>1826</v>
      </c>
      <c r="E184" s="399" t="s">
        <v>921</v>
      </c>
      <c r="F184" s="399" t="s">
        <v>2362</v>
      </c>
      <c r="G184" s="399" t="s">
        <v>1239</v>
      </c>
      <c r="H184" s="399" t="s">
        <v>1239</v>
      </c>
      <c r="I184" s="399" t="s">
        <v>1239</v>
      </c>
      <c r="J184" s="399" t="s">
        <v>2329</v>
      </c>
      <c r="K184" s="789">
        <v>44531</v>
      </c>
      <c r="L184" s="399">
        <v>0</v>
      </c>
      <c r="M184" s="399">
        <v>0</v>
      </c>
      <c r="N184" s="399">
        <v>46.649000000000001</v>
      </c>
      <c r="O184" s="399">
        <v>43.850059999999999</v>
      </c>
      <c r="P184" s="399">
        <v>46.649000000000001</v>
      </c>
      <c r="Q184" s="399">
        <v>43.850059999999999</v>
      </c>
      <c r="R184" s="399"/>
      <c r="S184" s="399">
        <v>521.86</v>
      </c>
      <c r="T184" s="399">
        <v>141.32</v>
      </c>
      <c r="U184" s="399"/>
      <c r="V184" s="399">
        <v>30936.683819999998</v>
      </c>
      <c r="W184" s="399">
        <v>30936.683819999998</v>
      </c>
      <c r="X184" s="399">
        <v>24179.57617</v>
      </c>
      <c r="Y184" s="399">
        <v>0</v>
      </c>
      <c r="Z184" s="399">
        <v>2830.5233552803966</v>
      </c>
      <c r="AA184" s="399">
        <v>0</v>
      </c>
      <c r="AB184" s="399">
        <v>0</v>
      </c>
      <c r="AC184" s="399">
        <v>0</v>
      </c>
      <c r="AD184" s="399">
        <v>5017.2773199125759</v>
      </c>
      <c r="AE184" s="399">
        <v>15158.629629332709</v>
      </c>
      <c r="AF184" s="399">
        <v>6592.3867670621157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437.66056108720795</v>
      </c>
      <c r="AM184" s="399"/>
      <c r="AN184" s="399">
        <v>64.695943917460255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835.24558731498507</v>
      </c>
      <c r="BH184" s="399">
        <v>0</v>
      </c>
      <c r="BI184" s="399">
        <v>206.93</v>
      </c>
      <c r="BJ184" s="399">
        <v>955.54</v>
      </c>
      <c r="BK184" s="399">
        <v>10616.88</v>
      </c>
      <c r="BL184" s="399">
        <v>19</v>
      </c>
      <c r="BM184" s="399"/>
      <c r="BN184" s="399"/>
      <c r="BO184" s="399"/>
      <c r="BP184" s="399"/>
      <c r="BQ184" s="399">
        <v>1450.7745702000009</v>
      </c>
      <c r="BR184" s="399"/>
      <c r="BS184" s="399"/>
      <c r="BT184" s="399"/>
      <c r="BU184" s="399"/>
      <c r="BV184" s="399">
        <v>7427.6323543771005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22728.770499999999</v>
      </c>
      <c r="CJ184" s="399">
        <v>-6351.7422907999971</v>
      </c>
      <c r="CK184" s="399"/>
      <c r="CL184" s="399"/>
      <c r="CM184" s="399"/>
      <c r="CN184" s="399"/>
      <c r="CO184" s="399">
        <v>-6757.1076500000008</v>
      </c>
      <c r="CP184" s="399">
        <v>0</v>
      </c>
      <c r="CQ184" s="399"/>
      <c r="CR184" s="399">
        <v>-207.85569207217486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-23.895802504406674</v>
      </c>
      <c r="DA184" s="399">
        <v>0</v>
      </c>
      <c r="DB184" s="399">
        <v>0</v>
      </c>
      <c r="DC184" s="399">
        <v>0</v>
      </c>
      <c r="DD184" s="399">
        <v>0</v>
      </c>
      <c r="DE184" s="399">
        <v>0</v>
      </c>
      <c r="DF184" s="399">
        <v>0</v>
      </c>
      <c r="DG184" s="399">
        <v>0</v>
      </c>
      <c r="DH184" s="399">
        <v>0</v>
      </c>
      <c r="DI184" s="399">
        <v>-159.4820493393745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-21.869111509867196</v>
      </c>
      <c r="DP184" s="399">
        <v>-2.6087287185229968</v>
      </c>
      <c r="DQ184" s="399">
        <v>0</v>
      </c>
      <c r="DR184" s="399">
        <v>0</v>
      </c>
      <c r="DS184" s="399"/>
      <c r="DT184" s="399"/>
      <c r="DU184" s="399"/>
      <c r="DV184" s="399">
        <v>15158.629629332709</v>
      </c>
      <c r="DW184" s="399">
        <v>0</v>
      </c>
      <c r="DX184" s="399">
        <v>0</v>
      </c>
      <c r="DY184" s="399">
        <v>-6757.1076499999981</v>
      </c>
      <c r="DZ184" s="399">
        <v>0</v>
      </c>
      <c r="EA184" s="399">
        <v>0</v>
      </c>
      <c r="EB184" s="399">
        <v>0</v>
      </c>
      <c r="EC184" s="399">
        <v>-6548.821836601046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218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2398</v>
      </c>
      <c r="D185" s="399" t="s">
        <v>533</v>
      </c>
      <c r="E185" s="399" t="s">
        <v>921</v>
      </c>
      <c r="F185" s="399" t="s">
        <v>2362</v>
      </c>
      <c r="G185" s="399" t="s">
        <v>1239</v>
      </c>
      <c r="H185" s="399" t="s">
        <v>1239</v>
      </c>
      <c r="I185" s="399" t="s">
        <v>893</v>
      </c>
      <c r="J185" s="399" t="s">
        <v>2329</v>
      </c>
      <c r="K185" s="789">
        <v>44531</v>
      </c>
      <c r="L185" s="399">
        <v>473</v>
      </c>
      <c r="M185" s="399">
        <v>444.62</v>
      </c>
      <c r="N185" s="399">
        <v>21.518000000000001</v>
      </c>
      <c r="O185" s="399">
        <v>20.22692</v>
      </c>
      <c r="P185" s="399">
        <v>21.518000000000001</v>
      </c>
      <c r="Q185" s="399">
        <v>20.22692</v>
      </c>
      <c r="R185" s="399">
        <v>111.06</v>
      </c>
      <c r="S185" s="399">
        <v>69.680000000000007</v>
      </c>
      <c r="T185" s="399">
        <v>141.32</v>
      </c>
      <c r="U185" s="399">
        <v>52531.380000000005</v>
      </c>
      <c r="V185" s="399">
        <v>4540.2980000000007</v>
      </c>
      <c r="W185" s="399">
        <v>57071.678</v>
      </c>
      <c r="X185" s="399">
        <v>40967.255720000001</v>
      </c>
      <c r="Y185" s="399">
        <v>0</v>
      </c>
      <c r="Z185" s="399">
        <v>1135.9142823268132</v>
      </c>
      <c r="AA185" s="399">
        <v>0</v>
      </c>
      <c r="AB185" s="399">
        <v>0</v>
      </c>
      <c r="AC185" s="399">
        <v>0</v>
      </c>
      <c r="AD185" s="399">
        <v>15601.035621738743</v>
      </c>
      <c r="AE185" s="399">
        <v>36931.487851072554</v>
      </c>
      <c r="AF185" s="399">
        <v>3040.9007364282752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201.88171136518554</v>
      </c>
      <c r="AM185" s="399"/>
      <c r="AN185" s="399">
        <v>12.926775230738352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148.75303938611577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>
        <v>2458.0353431999997</v>
      </c>
      <c r="BR185" s="399"/>
      <c r="BS185" s="399"/>
      <c r="BT185" s="399"/>
      <c r="BU185" s="399"/>
      <c r="BV185" s="399">
        <v>3189.6537758143909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38509.859599999996</v>
      </c>
      <c r="CJ185" s="399">
        <v>-15137.54772000001</v>
      </c>
      <c r="CK185" s="399"/>
      <c r="CL185" s="399"/>
      <c r="CM185" s="399"/>
      <c r="CN185" s="399"/>
      <c r="CO185" s="399">
        <v>-16104.422280000001</v>
      </c>
      <c r="CP185" s="399">
        <v>0</v>
      </c>
      <c r="CQ185" s="399"/>
      <c r="CR185" s="399">
        <v>-148.91358257022512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-74.303101525192687</v>
      </c>
      <c r="DA185" s="399">
        <v>0</v>
      </c>
      <c r="DB185" s="399">
        <v>0</v>
      </c>
      <c r="DC185" s="399">
        <v>0</v>
      </c>
      <c r="DD185" s="399">
        <v>0</v>
      </c>
      <c r="DE185" s="399">
        <v>0</v>
      </c>
      <c r="DF185" s="399">
        <v>0</v>
      </c>
      <c r="DG185" s="399">
        <v>0</v>
      </c>
      <c r="DH185" s="399">
        <v>0</v>
      </c>
      <c r="DI185" s="399">
        <v>-64.001569632484006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-10.087666219411403</v>
      </c>
      <c r="DP185" s="399">
        <v>-0.52124519313523265</v>
      </c>
      <c r="DQ185" s="399">
        <v>0</v>
      </c>
      <c r="DR185" s="399">
        <v>0</v>
      </c>
      <c r="DS185" s="399"/>
      <c r="DT185" s="399"/>
      <c r="DU185" s="399">
        <v>36931.487851072554</v>
      </c>
      <c r="DV185" s="399">
        <v>0</v>
      </c>
      <c r="DW185" s="399">
        <v>0</v>
      </c>
      <c r="DX185" s="399">
        <v>0</v>
      </c>
      <c r="DY185" s="399">
        <v>-16104.422279999999</v>
      </c>
      <c r="DZ185" s="399">
        <v>0</v>
      </c>
      <c r="EA185" s="399">
        <v>0</v>
      </c>
      <c r="EB185" s="399">
        <v>0</v>
      </c>
      <c r="EC185" s="399">
        <v>-15955.118636137315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218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2398</v>
      </c>
      <c r="D186" s="399" t="s">
        <v>533</v>
      </c>
      <c r="E186" s="399" t="s">
        <v>921</v>
      </c>
      <c r="F186" s="399" t="s">
        <v>2362</v>
      </c>
      <c r="G186" s="399" t="s">
        <v>1239</v>
      </c>
      <c r="H186" s="399" t="s">
        <v>1239</v>
      </c>
      <c r="I186" s="399" t="s">
        <v>2326</v>
      </c>
      <c r="J186" s="399" t="s">
        <v>2329</v>
      </c>
      <c r="K186" s="789">
        <v>44531</v>
      </c>
      <c r="L186" s="399">
        <v>473</v>
      </c>
      <c r="M186" s="399">
        <v>444.62</v>
      </c>
      <c r="N186" s="399">
        <v>209.739</v>
      </c>
      <c r="O186" s="399">
        <v>197.15466000000001</v>
      </c>
      <c r="P186" s="399">
        <v>209.739</v>
      </c>
      <c r="Q186" s="399">
        <v>197.15466000000001</v>
      </c>
      <c r="R186" s="399">
        <v>35.15</v>
      </c>
      <c r="S186" s="399">
        <v>69.680000000000007</v>
      </c>
      <c r="T186" s="399">
        <v>141.32</v>
      </c>
      <c r="U186" s="399">
        <v>16625.95</v>
      </c>
      <c r="V186" s="399">
        <v>44254.929000000004</v>
      </c>
      <c r="W186" s="399">
        <v>60880.879000000001</v>
      </c>
      <c r="X186" s="399">
        <v>55666.412059999995</v>
      </c>
      <c r="Y186" s="399">
        <v>0</v>
      </c>
      <c r="Z186" s="399">
        <v>11071.917727527814</v>
      </c>
      <c r="AA186" s="399">
        <v>0</v>
      </c>
      <c r="AB186" s="399">
        <v>0</v>
      </c>
      <c r="AC186" s="399">
        <v>0</v>
      </c>
      <c r="AD186" s="399">
        <v>6305.7395673642777</v>
      </c>
      <c r="AE186" s="399">
        <v>10319.903225667002</v>
      </c>
      <c r="AF186" s="399">
        <v>29640.091065978715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1967.7696932810973</v>
      </c>
      <c r="AM186" s="399"/>
      <c r="AN186" s="399">
        <v>125.99911284133428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1449.9169870714998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>
        <v>3339.9847235999996</v>
      </c>
      <c r="BR186" s="399"/>
      <c r="BS186" s="399"/>
      <c r="BT186" s="399"/>
      <c r="BU186" s="399"/>
      <c r="BV186" s="399">
        <v>31090.008053050216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52325.460200000001</v>
      </c>
      <c r="CJ186" s="399">
        <v>-4902.5960600000035</v>
      </c>
      <c r="CK186" s="399"/>
      <c r="CL186" s="399"/>
      <c r="CM186" s="399"/>
      <c r="CN186" s="399"/>
      <c r="CO186" s="399">
        <v>-5214.4669400000012</v>
      </c>
      <c r="CP186" s="399">
        <v>0</v>
      </c>
      <c r="CQ186" s="399"/>
      <c r="CR186" s="399">
        <v>-757.27131375015597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-30.032365711143939</v>
      </c>
      <c r="DA186" s="399">
        <v>0</v>
      </c>
      <c r="DB186" s="399">
        <v>0</v>
      </c>
      <c r="DC186" s="399">
        <v>0</v>
      </c>
      <c r="DD186" s="399">
        <v>0</v>
      </c>
      <c r="DE186" s="399">
        <v>0</v>
      </c>
      <c r="DF186" s="399">
        <v>0</v>
      </c>
      <c r="DG186" s="399">
        <v>0</v>
      </c>
      <c r="DH186" s="399">
        <v>0</v>
      </c>
      <c r="DI186" s="399">
        <v>-623.83238280265687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-98.325914359751323</v>
      </c>
      <c r="DP186" s="399">
        <v>-5.0806508766144844</v>
      </c>
      <c r="DQ186" s="399">
        <v>0</v>
      </c>
      <c r="DR186" s="399">
        <v>0</v>
      </c>
      <c r="DS186" s="399"/>
      <c r="DT186" s="399"/>
      <c r="DU186" s="399">
        <v>10319.903225667002</v>
      </c>
      <c r="DV186" s="399">
        <v>0</v>
      </c>
      <c r="DW186" s="399">
        <v>0</v>
      </c>
      <c r="DX186" s="399">
        <v>0</v>
      </c>
      <c r="DY186" s="399">
        <v>-5214.4669400000057</v>
      </c>
      <c r="DZ186" s="399">
        <v>0</v>
      </c>
      <c r="EA186" s="399">
        <v>0</v>
      </c>
      <c r="EB186" s="399">
        <v>0</v>
      </c>
      <c r="EC186" s="399">
        <v>-4458.398235753506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218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956</v>
      </c>
      <c r="C187" s="399" t="s">
        <v>2398</v>
      </c>
      <c r="D187" s="399" t="s">
        <v>533</v>
      </c>
      <c r="E187" s="399" t="s">
        <v>921</v>
      </c>
      <c r="F187" s="399" t="s">
        <v>2362</v>
      </c>
      <c r="G187" s="399" t="s">
        <v>1239</v>
      </c>
      <c r="H187" s="399" t="s">
        <v>1239</v>
      </c>
      <c r="I187" s="399" t="s">
        <v>1239</v>
      </c>
      <c r="J187" s="399" t="s">
        <v>2329</v>
      </c>
      <c r="K187" s="789">
        <v>44531</v>
      </c>
      <c r="L187" s="399">
        <v>0</v>
      </c>
      <c r="M187" s="399">
        <v>0</v>
      </c>
      <c r="N187" s="399">
        <v>0</v>
      </c>
      <c r="O187" s="399">
        <v>0</v>
      </c>
      <c r="P187" s="399">
        <v>0</v>
      </c>
      <c r="Q187" s="399">
        <v>0</v>
      </c>
      <c r="R187" s="399"/>
      <c r="S187" s="399"/>
      <c r="T187" s="399"/>
      <c r="U187" s="399"/>
      <c r="V187" s="399"/>
      <c r="W187" s="399"/>
      <c r="X187" s="399"/>
      <c r="Y187" s="399"/>
      <c r="Z187" s="399"/>
      <c r="AA187" s="399">
        <v>0</v>
      </c>
      <c r="AB187" s="399"/>
      <c r="AC187" s="399"/>
      <c r="AD187" s="399"/>
      <c r="AE187" s="399"/>
      <c r="AF187" s="399"/>
      <c r="AG187" s="399"/>
      <c r="AH187" s="399"/>
      <c r="AI187" s="399"/>
      <c r="AJ187" s="399"/>
      <c r="AK187" s="399"/>
      <c r="AL187" s="399"/>
      <c r="AM187" s="399"/>
      <c r="AN187" s="399"/>
      <c r="AO187" s="399"/>
      <c r="AP187" s="399"/>
      <c r="AQ187" s="399"/>
      <c r="AR187" s="399"/>
      <c r="AS187" s="399"/>
      <c r="AT187" s="399"/>
      <c r="AU187" s="399"/>
      <c r="AV187" s="399"/>
      <c r="AW187" s="399"/>
      <c r="AX187" s="399"/>
      <c r="AY187" s="399"/>
      <c r="AZ187" s="399">
        <v>0</v>
      </c>
      <c r="BA187" s="399"/>
      <c r="BB187" s="399"/>
      <c r="BC187" s="399"/>
      <c r="BD187" s="399"/>
      <c r="BE187" s="399"/>
      <c r="BF187" s="399"/>
      <c r="BG187" s="399"/>
      <c r="BH187" s="399"/>
      <c r="BI187" s="399">
        <v>873.44</v>
      </c>
      <c r="BJ187" s="399">
        <v>4031.31</v>
      </c>
      <c r="BK187" s="399">
        <v>40567.32</v>
      </c>
      <c r="BL187" s="399">
        <v>2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/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/>
      <c r="CJ187" s="399">
        <v>-0.03</v>
      </c>
      <c r="CK187" s="399"/>
      <c r="CL187" s="399"/>
      <c r="CM187" s="399"/>
      <c r="CN187" s="399"/>
      <c r="CO187" s="399">
        <v>0</v>
      </c>
      <c r="CP187" s="399">
        <v>0</v>
      </c>
      <c r="CQ187" s="399"/>
      <c r="CR187" s="399"/>
      <c r="CS187" s="399"/>
      <c r="CT187" s="399"/>
      <c r="CU187" s="399"/>
      <c r="CV187" s="399"/>
      <c r="CW187" s="399"/>
      <c r="CX187" s="399"/>
      <c r="CY187" s="399"/>
      <c r="CZ187" s="399"/>
      <c r="DA187" s="399"/>
      <c r="DB187" s="399"/>
      <c r="DC187" s="399"/>
      <c r="DD187" s="399"/>
      <c r="DE187" s="399"/>
      <c r="DF187" s="399"/>
      <c r="DG187" s="399"/>
      <c r="DH187" s="399"/>
      <c r="DI187" s="399"/>
      <c r="DJ187" s="399"/>
      <c r="DK187" s="399">
        <v>0</v>
      </c>
      <c r="DL187" s="399"/>
      <c r="DM187" s="399"/>
      <c r="DN187" s="399"/>
      <c r="DO187" s="399"/>
      <c r="DP187" s="399"/>
      <c r="DQ187" s="399"/>
      <c r="DR187" s="399"/>
      <c r="DS187" s="399"/>
      <c r="DT187" s="399"/>
      <c r="DU187" s="399"/>
      <c r="DV187" s="399"/>
      <c r="DW187" s="399"/>
      <c r="DX187" s="399"/>
      <c r="DY187" s="399"/>
      <c r="DZ187" s="399"/>
      <c r="EA187" s="399"/>
      <c r="EB187" s="399"/>
      <c r="EC187" s="399"/>
      <c r="ED187" s="399"/>
      <c r="EE187" s="399"/>
      <c r="EF187" s="399"/>
      <c r="EG187" s="399"/>
      <c r="EH187" s="399"/>
      <c r="EI187" s="399"/>
      <c r="EJ187" s="399"/>
      <c r="EK187" s="399"/>
      <c r="EL187" s="399"/>
      <c r="EM187" s="399"/>
      <c r="EN187" s="399"/>
      <c r="EO187" s="399"/>
      <c r="EP187" s="399"/>
      <c r="EQ187" s="399"/>
      <c r="ER187" s="399"/>
      <c r="ES187" s="399"/>
      <c r="ET187" s="399"/>
      <c r="EU187" s="399"/>
      <c r="EV187" s="399">
        <v>218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956</v>
      </c>
      <c r="C188" s="399" t="s">
        <v>2334</v>
      </c>
      <c r="D188" s="399" t="s">
        <v>533</v>
      </c>
      <c r="E188" s="399" t="s">
        <v>921</v>
      </c>
      <c r="F188" s="399" t="s">
        <v>2362</v>
      </c>
      <c r="G188" s="399" t="s">
        <v>1239</v>
      </c>
      <c r="H188" s="399" t="s">
        <v>1239</v>
      </c>
      <c r="I188" s="399" t="s">
        <v>893</v>
      </c>
      <c r="J188" s="399" t="s">
        <v>2329</v>
      </c>
      <c r="K188" s="789">
        <v>44531</v>
      </c>
      <c r="L188" s="399">
        <v>0</v>
      </c>
      <c r="M188" s="399">
        <v>0</v>
      </c>
      <c r="N188" s="399">
        <v>5.694</v>
      </c>
      <c r="O188" s="399">
        <v>5.35236</v>
      </c>
      <c r="P188" s="399">
        <v>5.694</v>
      </c>
      <c r="Q188" s="399">
        <v>5.35236</v>
      </c>
      <c r="R188" s="399"/>
      <c r="S188" s="399">
        <v>2741.05</v>
      </c>
      <c r="T188" s="399">
        <v>141.32</v>
      </c>
      <c r="U188" s="399"/>
      <c r="V188" s="399">
        <v>16412.214780000002</v>
      </c>
      <c r="W188" s="399">
        <v>16412.214780000002</v>
      </c>
      <c r="X188" s="399">
        <v>11751.732719999998</v>
      </c>
      <c r="Y188" s="399">
        <v>0</v>
      </c>
      <c r="Z188" s="399">
        <v>300.58071956356883</v>
      </c>
      <c r="AA188" s="399">
        <v>0</v>
      </c>
      <c r="AB188" s="399">
        <v>0</v>
      </c>
      <c r="AC188" s="399">
        <v>0</v>
      </c>
      <c r="AD188" s="399">
        <v>4518.5390621549113</v>
      </c>
      <c r="AE188" s="399">
        <v>10692.24294552959</v>
      </c>
      <c r="AF188" s="399">
        <v>804.66998760212834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53.421064435048166</v>
      </c>
      <c r="AM188" s="399"/>
      <c r="AN188" s="399">
        <v>3.4206272963948403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39.36238527114709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>
        <v>705.10396319999984</v>
      </c>
      <c r="BR188" s="399"/>
      <c r="BS188" s="399"/>
      <c r="BT188" s="399"/>
      <c r="BU188" s="399"/>
      <c r="BV188" s="399">
        <v>844.03237287327545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11041.758</v>
      </c>
      <c r="CJ188" s="399">
        <v>-4385.7538932000025</v>
      </c>
      <c r="CK188" s="399"/>
      <c r="CL188" s="399"/>
      <c r="CM188" s="399"/>
      <c r="CN188" s="399"/>
      <c r="CO188" s="399">
        <v>-4660.4820600000012</v>
      </c>
      <c r="CP188" s="399">
        <v>0</v>
      </c>
      <c r="CQ188" s="399"/>
      <c r="CR188" s="399">
        <v>-41.263562707952588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-21.52046023233197</v>
      </c>
      <c r="DA188" s="399">
        <v>0</v>
      </c>
      <c r="DB188" s="399">
        <v>0</v>
      </c>
      <c r="DC188" s="399">
        <v>0</v>
      </c>
      <c r="DD188" s="399">
        <v>0</v>
      </c>
      <c r="DE188" s="399">
        <v>0</v>
      </c>
      <c r="DF188" s="399">
        <v>0</v>
      </c>
      <c r="DG188" s="399">
        <v>0</v>
      </c>
      <c r="DH188" s="399">
        <v>0</v>
      </c>
      <c r="DI188" s="399">
        <v>-16.935818267839181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-2.6693545614522023</v>
      </c>
      <c r="DP188" s="399">
        <v>-0.13792964632921345</v>
      </c>
      <c r="DQ188" s="399">
        <v>0</v>
      </c>
      <c r="DR188" s="399">
        <v>0</v>
      </c>
      <c r="DS188" s="399"/>
      <c r="DT188" s="399"/>
      <c r="DU188" s="399"/>
      <c r="DV188" s="399">
        <v>10692.24294552959</v>
      </c>
      <c r="DW188" s="399">
        <v>0</v>
      </c>
      <c r="DX188" s="399">
        <v>0</v>
      </c>
      <c r="DY188" s="399">
        <v>-4660.4820600000021</v>
      </c>
      <c r="DZ188" s="399">
        <v>0</v>
      </c>
      <c r="EA188" s="399">
        <v>0</v>
      </c>
      <c r="EB188" s="399">
        <v>0</v>
      </c>
      <c r="EC188" s="399">
        <v>-4619.2562122127893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218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956</v>
      </c>
      <c r="C189" s="399" t="s">
        <v>2334</v>
      </c>
      <c r="D189" s="399" t="s">
        <v>533</v>
      </c>
      <c r="E189" s="399" t="s">
        <v>921</v>
      </c>
      <c r="F189" s="399" t="s">
        <v>2362</v>
      </c>
      <c r="G189" s="399" t="s">
        <v>1239</v>
      </c>
      <c r="H189" s="399" t="s">
        <v>1239</v>
      </c>
      <c r="I189" s="399" t="s">
        <v>2326</v>
      </c>
      <c r="J189" s="399" t="s">
        <v>2329</v>
      </c>
      <c r="K189" s="789">
        <v>44531</v>
      </c>
      <c r="L189" s="399">
        <v>0</v>
      </c>
      <c r="M189" s="399">
        <v>0</v>
      </c>
      <c r="N189" s="399">
        <v>44.311999999999998</v>
      </c>
      <c r="O189" s="399">
        <v>41.653280000000002</v>
      </c>
      <c r="P189" s="399">
        <v>44.311999999999998</v>
      </c>
      <c r="Q189" s="399">
        <v>41.653280000000002</v>
      </c>
      <c r="R189" s="399"/>
      <c r="S189" s="399">
        <v>69.680000000000007</v>
      </c>
      <c r="T189" s="399">
        <v>141.32</v>
      </c>
      <c r="U189" s="399"/>
      <c r="V189" s="399">
        <v>9349.8319999999985</v>
      </c>
      <c r="W189" s="399">
        <v>9349.8319999999985</v>
      </c>
      <c r="X189" s="399">
        <v>9196.5124799999994</v>
      </c>
      <c r="Y189" s="399">
        <v>0</v>
      </c>
      <c r="Z189" s="399">
        <v>2339.1873630665373</v>
      </c>
      <c r="AA189" s="399">
        <v>0</v>
      </c>
      <c r="AB189" s="399">
        <v>0</v>
      </c>
      <c r="AC189" s="399">
        <v>0</v>
      </c>
      <c r="AD189" s="399">
        <v>0</v>
      </c>
      <c r="AE189" s="399">
        <v>0</v>
      </c>
      <c r="AF189" s="399">
        <v>6262.1244275773643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415.73484496765968</v>
      </c>
      <c r="AM189" s="399"/>
      <c r="AN189" s="399">
        <v>26.62009777974151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306.32701372235158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>
        <v>551.79074879999905</v>
      </c>
      <c r="BR189" s="399"/>
      <c r="BS189" s="399"/>
      <c r="BT189" s="399"/>
      <c r="BU189" s="399"/>
      <c r="BV189" s="399">
        <v>6568.451441299716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8644.0409999999993</v>
      </c>
      <c r="CJ189" s="399">
        <v>-144.83108000000175</v>
      </c>
      <c r="CK189" s="399"/>
      <c r="CL189" s="399"/>
      <c r="CM189" s="399"/>
      <c r="CN189" s="399"/>
      <c r="CO189" s="399">
        <v>-153.31952000000035</v>
      </c>
      <c r="CP189" s="399">
        <v>0</v>
      </c>
      <c r="CQ189" s="399"/>
      <c r="CR189" s="399">
        <v>-153.64530328410547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</v>
      </c>
      <c r="DA189" s="399">
        <v>0</v>
      </c>
      <c r="DB189" s="399">
        <v>0</v>
      </c>
      <c r="DC189" s="399">
        <v>0</v>
      </c>
      <c r="DD189" s="399">
        <v>0</v>
      </c>
      <c r="DE189" s="399">
        <v>0</v>
      </c>
      <c r="DF189" s="399">
        <v>0</v>
      </c>
      <c r="DG189" s="399">
        <v>0</v>
      </c>
      <c r="DH189" s="399">
        <v>0</v>
      </c>
      <c r="DI189" s="399">
        <v>-131.79838059088343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-20.773522888491414</v>
      </c>
      <c r="DP189" s="399">
        <v>-1.0733998047313165</v>
      </c>
      <c r="DQ189" s="399">
        <v>0</v>
      </c>
      <c r="DR189" s="399">
        <v>0</v>
      </c>
      <c r="DS189" s="399"/>
      <c r="DT189" s="399"/>
      <c r="DU189" s="399"/>
      <c r="DV189" s="399">
        <v>0</v>
      </c>
      <c r="DW189" s="399">
        <v>0</v>
      </c>
      <c r="DX189" s="399">
        <v>0</v>
      </c>
      <c r="DY189" s="399">
        <v>-153.31952000000047</v>
      </c>
      <c r="DZ189" s="399">
        <v>0</v>
      </c>
      <c r="EA189" s="399">
        <v>0</v>
      </c>
      <c r="EB189" s="399">
        <v>0</v>
      </c>
      <c r="EC189" s="399">
        <v>0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218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956</v>
      </c>
      <c r="C190" s="399" t="s">
        <v>2334</v>
      </c>
      <c r="D190" s="399" t="s">
        <v>533</v>
      </c>
      <c r="E190" s="399" t="s">
        <v>921</v>
      </c>
      <c r="F190" s="399" t="s">
        <v>2362</v>
      </c>
      <c r="G190" s="399" t="s">
        <v>1239</v>
      </c>
      <c r="H190" s="399" t="s">
        <v>1239</v>
      </c>
      <c r="I190" s="399" t="s">
        <v>1239</v>
      </c>
      <c r="J190" s="399" t="s">
        <v>2329</v>
      </c>
      <c r="K190" s="789">
        <v>44531</v>
      </c>
      <c r="L190" s="399">
        <v>85</v>
      </c>
      <c r="M190" s="399">
        <v>79.900000000000006</v>
      </c>
      <c r="N190" s="399">
        <v>0</v>
      </c>
      <c r="O190" s="399">
        <v>0</v>
      </c>
      <c r="P190" s="399">
        <v>0</v>
      </c>
      <c r="Q190" s="399">
        <v>0</v>
      </c>
      <c r="R190" s="399">
        <v>35.15</v>
      </c>
      <c r="S190" s="399"/>
      <c r="T190" s="399"/>
      <c r="U190" s="399">
        <v>2987.75</v>
      </c>
      <c r="V190" s="399"/>
      <c r="W190" s="399">
        <v>2987.75</v>
      </c>
      <c r="X190" s="399">
        <v>2181.1</v>
      </c>
      <c r="Y190" s="399">
        <v>0</v>
      </c>
      <c r="Z190" s="399">
        <v>0</v>
      </c>
      <c r="AA190" s="399">
        <v>0</v>
      </c>
      <c r="AB190" s="399">
        <v>0</v>
      </c>
      <c r="AC190" s="399">
        <v>0</v>
      </c>
      <c r="AD190" s="399">
        <v>1133.1667298646164</v>
      </c>
      <c r="AE190" s="399">
        <v>1854.5280638090805</v>
      </c>
      <c r="AF190" s="399"/>
      <c r="AG190" s="399"/>
      <c r="AH190" s="399"/>
      <c r="AI190" s="399">
        <v>0</v>
      </c>
      <c r="AJ190" s="399">
        <v>0</v>
      </c>
      <c r="AK190" s="399">
        <v>0</v>
      </c>
      <c r="AL190" s="399">
        <v>0</v>
      </c>
      <c r="AM190" s="399"/>
      <c r="AN190" s="399">
        <v>0</v>
      </c>
      <c r="AO190" s="399">
        <v>0</v>
      </c>
      <c r="AP190" s="399">
        <v>0</v>
      </c>
      <c r="AQ190" s="399">
        <v>0</v>
      </c>
      <c r="AR190" s="399">
        <v>0</v>
      </c>
      <c r="AS190" s="399"/>
      <c r="AT190" s="399"/>
      <c r="AU190" s="399">
        <v>0</v>
      </c>
      <c r="AV190" s="399">
        <v>0</v>
      </c>
      <c r="AW190" s="399">
        <v>0</v>
      </c>
      <c r="AX190" s="399"/>
      <c r="AY190" s="399"/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/>
      <c r="BG190" s="399">
        <v>0</v>
      </c>
      <c r="BH190" s="399">
        <v>0</v>
      </c>
      <c r="BI190" s="399">
        <v>207.4</v>
      </c>
      <c r="BJ190" s="399">
        <v>957.24</v>
      </c>
      <c r="BK190" s="399">
        <v>10636</v>
      </c>
      <c r="BL190" s="399">
        <v>1</v>
      </c>
      <c r="BM190" s="399"/>
      <c r="BN190" s="399"/>
      <c r="BO190" s="399"/>
      <c r="BP190" s="399"/>
      <c r="BQ190" s="399">
        <v>130.86599999999984</v>
      </c>
      <c r="BR190" s="399"/>
      <c r="BS190" s="399"/>
      <c r="BT190" s="399"/>
      <c r="BU190" s="399"/>
      <c r="BV190" s="399">
        <v>0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2050.2340000000004</v>
      </c>
      <c r="CJ190" s="399">
        <v>-758.2810000000004</v>
      </c>
      <c r="CK190" s="399"/>
      <c r="CL190" s="399"/>
      <c r="CM190" s="399"/>
      <c r="CN190" s="399"/>
      <c r="CO190" s="399">
        <v>-806.64999999999986</v>
      </c>
      <c r="CP190" s="399">
        <v>0</v>
      </c>
      <c r="CQ190" s="399"/>
      <c r="CR190" s="399">
        <v>-5.396936755702427</v>
      </c>
      <c r="CS190" s="399">
        <v>0</v>
      </c>
      <c r="CT190" s="399">
        <v>0</v>
      </c>
      <c r="CU190" s="399">
        <v>0</v>
      </c>
      <c r="CV190" s="399">
        <v>0</v>
      </c>
      <c r="CW190" s="399"/>
      <c r="CX190" s="399"/>
      <c r="CY190" s="399"/>
      <c r="CZ190" s="399">
        <v>-5.396936755702427</v>
      </c>
      <c r="DA190" s="399">
        <v>0</v>
      </c>
      <c r="DB190" s="399">
        <v>0</v>
      </c>
      <c r="DC190" s="399"/>
      <c r="DD190" s="399"/>
      <c r="DE190" s="399">
        <v>0</v>
      </c>
      <c r="DF190" s="399">
        <v>0</v>
      </c>
      <c r="DG190" s="399">
        <v>0</v>
      </c>
      <c r="DH190" s="399">
        <v>0</v>
      </c>
      <c r="DI190" s="399">
        <v>0</v>
      </c>
      <c r="DJ190" s="399"/>
      <c r="DK190" s="399">
        <v>0</v>
      </c>
      <c r="DL190" s="399">
        <v>0</v>
      </c>
      <c r="DM190" s="399"/>
      <c r="DN190" s="399">
        <v>0</v>
      </c>
      <c r="DO190" s="399">
        <v>0</v>
      </c>
      <c r="DP190" s="399">
        <v>0</v>
      </c>
      <c r="DQ190" s="399">
        <v>0</v>
      </c>
      <c r="DR190" s="399">
        <v>0</v>
      </c>
      <c r="DS190" s="399"/>
      <c r="DT190" s="399"/>
      <c r="DU190" s="399">
        <v>1854.5280638090805</v>
      </c>
      <c r="DV190" s="399"/>
      <c r="DW190" s="399">
        <v>0</v>
      </c>
      <c r="DX190" s="399">
        <v>0</v>
      </c>
      <c r="DY190" s="399">
        <v>-806.65000000000009</v>
      </c>
      <c r="DZ190" s="399"/>
      <c r="EA190" s="399">
        <v>0</v>
      </c>
      <c r="EB190" s="399"/>
      <c r="EC190" s="399">
        <v>-801.1920719641605</v>
      </c>
      <c r="ED190" s="399"/>
      <c r="EE190" s="399">
        <v>0</v>
      </c>
      <c r="EF190" s="399">
        <v>0</v>
      </c>
      <c r="EG190" s="399"/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/>
      <c r="EN190" s="399"/>
      <c r="EO190" s="399">
        <v>0</v>
      </c>
      <c r="EP190" s="399">
        <v>0</v>
      </c>
      <c r="EQ190" s="399"/>
      <c r="ER190" s="399">
        <v>0</v>
      </c>
      <c r="ES190" s="399"/>
      <c r="ET190" s="399">
        <v>0</v>
      </c>
      <c r="EU190" s="399"/>
      <c r="EV190" s="399">
        <v>218</v>
      </c>
      <c r="EW190" s="399"/>
      <c r="EX190" s="399"/>
      <c r="EY190" s="399"/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956</v>
      </c>
      <c r="C191" s="399" t="s">
        <v>2328</v>
      </c>
      <c r="D191" s="399" t="s">
        <v>2335</v>
      </c>
      <c r="E191" s="399" t="s">
        <v>894</v>
      </c>
      <c r="F191" s="399" t="s">
        <v>2363</v>
      </c>
      <c r="G191" s="399" t="s">
        <v>2340</v>
      </c>
      <c r="H191" s="399" t="s">
        <v>1239</v>
      </c>
      <c r="I191" s="399" t="s">
        <v>1239</v>
      </c>
      <c r="J191" s="399" t="s">
        <v>2329</v>
      </c>
      <c r="K191" s="789">
        <v>44531</v>
      </c>
      <c r="L191" s="399">
        <v>0</v>
      </c>
      <c r="M191" s="399">
        <v>0</v>
      </c>
      <c r="N191" s="399">
        <v>0</v>
      </c>
      <c r="O191" s="399">
        <v>0</v>
      </c>
      <c r="P191" s="399">
        <v>0</v>
      </c>
      <c r="Q191" s="399">
        <v>0</v>
      </c>
      <c r="R191" s="399"/>
      <c r="S191" s="399"/>
      <c r="T191" s="399"/>
      <c r="U191" s="399"/>
      <c r="V191" s="399"/>
      <c r="W191" s="399"/>
      <c r="X191" s="399"/>
      <c r="Y191" s="399"/>
      <c r="Z191" s="399"/>
      <c r="AA191" s="399">
        <v>0</v>
      </c>
      <c r="AB191" s="399"/>
      <c r="AC191" s="399"/>
      <c r="AD191" s="399"/>
      <c r="AE191" s="399"/>
      <c r="AF191" s="399"/>
      <c r="AG191" s="399"/>
      <c r="AH191" s="399"/>
      <c r="AI191" s="399"/>
      <c r="AJ191" s="399"/>
      <c r="AK191" s="399"/>
      <c r="AL191" s="399"/>
      <c r="AM191" s="399"/>
      <c r="AN191" s="399"/>
      <c r="AO191" s="399"/>
      <c r="AP191" s="399"/>
      <c r="AQ191" s="399"/>
      <c r="AR191" s="399"/>
      <c r="AS191" s="399"/>
      <c r="AT191" s="399"/>
      <c r="AU191" s="399"/>
      <c r="AV191" s="399"/>
      <c r="AW191" s="399"/>
      <c r="AX191" s="399"/>
      <c r="AY191" s="399"/>
      <c r="AZ191" s="399">
        <v>0</v>
      </c>
      <c r="BA191" s="399"/>
      <c r="BB191" s="399"/>
      <c r="BC191" s="399"/>
      <c r="BD191" s="399"/>
      <c r="BE191" s="399"/>
      <c r="BF191" s="399"/>
      <c r="BG191" s="399"/>
      <c r="BH191" s="399"/>
      <c r="BI191" s="399">
        <v>33.32</v>
      </c>
      <c r="BJ191" s="399">
        <v>154.16</v>
      </c>
      <c r="BK191" s="399">
        <v>951.22</v>
      </c>
      <c r="BL191" s="399">
        <v>21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/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/>
      <c r="CJ191" s="399">
        <v>-0.03</v>
      </c>
      <c r="CK191" s="399"/>
      <c r="CL191" s="399"/>
      <c r="CM191" s="399"/>
      <c r="CN191" s="399"/>
      <c r="CO191" s="399">
        <v>0</v>
      </c>
      <c r="CP191" s="399">
        <v>0</v>
      </c>
      <c r="CQ191" s="399"/>
      <c r="CR191" s="399"/>
      <c r="CS191" s="399"/>
      <c r="CT191" s="399"/>
      <c r="CU191" s="399"/>
      <c r="CV191" s="399"/>
      <c r="CW191" s="399"/>
      <c r="CX191" s="399"/>
      <c r="CY191" s="399"/>
      <c r="CZ191" s="399"/>
      <c r="DA191" s="399"/>
      <c r="DB191" s="399"/>
      <c r="DC191" s="399"/>
      <c r="DD191" s="399"/>
      <c r="DE191" s="399"/>
      <c r="DF191" s="399"/>
      <c r="DG191" s="399"/>
      <c r="DH191" s="399"/>
      <c r="DI191" s="399"/>
      <c r="DJ191" s="399"/>
      <c r="DK191" s="399">
        <v>0</v>
      </c>
      <c r="DL191" s="399"/>
      <c r="DM191" s="399"/>
      <c r="DN191" s="399"/>
      <c r="DO191" s="399"/>
      <c r="DP191" s="399"/>
      <c r="DQ191" s="399"/>
      <c r="DR191" s="399"/>
      <c r="DS191" s="399"/>
      <c r="DT191" s="399"/>
      <c r="DU191" s="399"/>
      <c r="DV191" s="399"/>
      <c r="DW191" s="399"/>
      <c r="DX191" s="399"/>
      <c r="DY191" s="399"/>
      <c r="DZ191" s="399"/>
      <c r="EA191" s="399"/>
      <c r="EB191" s="399"/>
      <c r="EC191" s="399"/>
      <c r="ED191" s="399"/>
      <c r="EE191" s="399"/>
      <c r="EF191" s="399"/>
      <c r="EG191" s="399"/>
      <c r="EH191" s="399"/>
      <c r="EI191" s="399"/>
      <c r="EJ191" s="399"/>
      <c r="EK191" s="399"/>
      <c r="EL191" s="399"/>
      <c r="EM191" s="399"/>
      <c r="EN191" s="399"/>
      <c r="EO191" s="399"/>
      <c r="EP191" s="399"/>
      <c r="EQ191" s="399"/>
      <c r="ER191" s="399"/>
      <c r="ES191" s="399"/>
      <c r="ET191" s="399"/>
      <c r="EU191" s="399"/>
      <c r="EV191" s="399">
        <v>218</v>
      </c>
      <c r="EW191" s="399"/>
      <c r="EX191" s="399"/>
      <c r="EY191" s="399"/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2361</v>
      </c>
      <c r="C192" s="399" t="s">
        <v>2328</v>
      </c>
      <c r="D192" s="399" t="s">
        <v>2335</v>
      </c>
      <c r="E192" s="399" t="s">
        <v>894</v>
      </c>
      <c r="F192" s="399" t="s">
        <v>2363</v>
      </c>
      <c r="G192" s="399" t="s">
        <v>2340</v>
      </c>
      <c r="H192" s="399" t="s">
        <v>1239</v>
      </c>
      <c r="I192" s="399" t="s">
        <v>1239</v>
      </c>
      <c r="J192" s="399" t="s">
        <v>2329</v>
      </c>
      <c r="K192" s="789">
        <v>44531</v>
      </c>
      <c r="L192" s="399">
        <v>0</v>
      </c>
      <c r="M192" s="399">
        <v>0</v>
      </c>
      <c r="N192" s="399">
        <v>0</v>
      </c>
      <c r="O192" s="399">
        <v>0</v>
      </c>
      <c r="P192" s="399">
        <v>0</v>
      </c>
      <c r="Q192" s="399">
        <v>0</v>
      </c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>
        <v>0</v>
      </c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399"/>
      <c r="AP192" s="399"/>
      <c r="AQ192" s="399"/>
      <c r="AR192" s="399"/>
      <c r="AS192" s="399"/>
      <c r="AT192" s="399"/>
      <c r="AU192" s="399"/>
      <c r="AV192" s="399"/>
      <c r="AW192" s="399"/>
      <c r="AX192" s="399"/>
      <c r="AY192" s="399"/>
      <c r="AZ192" s="399">
        <v>0</v>
      </c>
      <c r="BA192" s="399"/>
      <c r="BB192" s="399"/>
      <c r="BC192" s="399"/>
      <c r="BD192" s="399"/>
      <c r="BE192" s="399"/>
      <c r="BF192" s="399"/>
      <c r="BG192" s="399"/>
      <c r="BH192" s="399"/>
      <c r="BI192" s="399">
        <v>5.57</v>
      </c>
      <c r="BJ192" s="399">
        <v>25.75</v>
      </c>
      <c r="BK192" s="399">
        <v>245.57</v>
      </c>
      <c r="BL192" s="399">
        <v>4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/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/>
      <c r="CJ192" s="399">
        <v>-0.03</v>
      </c>
      <c r="CK192" s="399"/>
      <c r="CL192" s="399"/>
      <c r="CM192" s="399"/>
      <c r="CN192" s="399"/>
      <c r="CO192" s="399">
        <v>0</v>
      </c>
      <c r="CP192" s="399">
        <v>0</v>
      </c>
      <c r="CQ192" s="399"/>
      <c r="CR192" s="399"/>
      <c r="CS192" s="399"/>
      <c r="CT192" s="399"/>
      <c r="CU192" s="399"/>
      <c r="CV192" s="399"/>
      <c r="CW192" s="399"/>
      <c r="CX192" s="399"/>
      <c r="CY192" s="399"/>
      <c r="CZ192" s="399"/>
      <c r="DA192" s="399"/>
      <c r="DB192" s="399"/>
      <c r="DC192" s="399"/>
      <c r="DD192" s="399"/>
      <c r="DE192" s="399"/>
      <c r="DF192" s="399"/>
      <c r="DG192" s="399"/>
      <c r="DH192" s="399"/>
      <c r="DI192" s="399"/>
      <c r="DJ192" s="399"/>
      <c r="DK192" s="399">
        <v>0</v>
      </c>
      <c r="DL192" s="399"/>
      <c r="DM192" s="399"/>
      <c r="DN192" s="399"/>
      <c r="DO192" s="399"/>
      <c r="DP192" s="399"/>
      <c r="DQ192" s="399"/>
      <c r="DR192" s="399"/>
      <c r="DS192" s="399"/>
      <c r="DT192" s="399"/>
      <c r="DU192" s="399"/>
      <c r="DV192" s="399"/>
      <c r="DW192" s="399"/>
      <c r="DX192" s="399"/>
      <c r="DY192" s="399"/>
      <c r="DZ192" s="399"/>
      <c r="EA192" s="399"/>
      <c r="EB192" s="399"/>
      <c r="EC192" s="399"/>
      <c r="ED192" s="399"/>
      <c r="EE192" s="399"/>
      <c r="EF192" s="399"/>
      <c r="EG192" s="399"/>
      <c r="EH192" s="399"/>
      <c r="EI192" s="399"/>
      <c r="EJ192" s="399"/>
      <c r="EK192" s="399"/>
      <c r="EL192" s="399"/>
      <c r="EM192" s="399"/>
      <c r="EN192" s="399"/>
      <c r="EO192" s="399"/>
      <c r="EP192" s="399"/>
      <c r="EQ192" s="399"/>
      <c r="ER192" s="399"/>
      <c r="ES192" s="399"/>
      <c r="ET192" s="399"/>
      <c r="EU192" s="399"/>
      <c r="EV192" s="399">
        <v>218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956</v>
      </c>
      <c r="C193" s="399" t="s">
        <v>2328</v>
      </c>
      <c r="D193" s="399" t="s">
        <v>2335</v>
      </c>
      <c r="E193" s="399" t="s">
        <v>894</v>
      </c>
      <c r="F193" s="399" t="s">
        <v>2363</v>
      </c>
      <c r="G193" s="399" t="s">
        <v>2340</v>
      </c>
      <c r="H193" s="399" t="s">
        <v>1239</v>
      </c>
      <c r="I193" s="399" t="s">
        <v>1239</v>
      </c>
      <c r="J193" s="399" t="s">
        <v>2329</v>
      </c>
      <c r="K193" s="789">
        <v>44531</v>
      </c>
      <c r="L193" s="399">
        <v>0</v>
      </c>
      <c r="M193" s="399">
        <v>0</v>
      </c>
      <c r="N193" s="399">
        <v>2.8740000000000001</v>
      </c>
      <c r="O193" s="399">
        <v>2.8740000000000001</v>
      </c>
      <c r="P193" s="399">
        <v>2.8740000000000001</v>
      </c>
      <c r="Q193" s="399">
        <v>2.8740000000000001</v>
      </c>
      <c r="R193" s="399"/>
      <c r="S193" s="399">
        <v>521.86</v>
      </c>
      <c r="T193" s="399">
        <v>141.32</v>
      </c>
      <c r="U193" s="399"/>
      <c r="V193" s="399">
        <v>1905.9793199999999</v>
      </c>
      <c r="W193" s="399">
        <v>1905.9793199999999</v>
      </c>
      <c r="X193" s="399">
        <v>1489.6804200000001</v>
      </c>
      <c r="Y193" s="399">
        <v>0</v>
      </c>
      <c r="Z193" s="399">
        <v>174.3858201263877</v>
      </c>
      <c r="AA193" s="399">
        <v>0</v>
      </c>
      <c r="AB193" s="399">
        <v>0</v>
      </c>
      <c r="AC193" s="399">
        <v>0</v>
      </c>
      <c r="AD193" s="399">
        <v>309.109627589632</v>
      </c>
      <c r="AE193" s="399">
        <v>933.90858442200704</v>
      </c>
      <c r="AF193" s="399">
        <v>406.15060491192781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26.963846010946337</v>
      </c>
      <c r="AM193" s="399"/>
      <c r="AN193" s="399">
        <v>3.9858548483093053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51.458676883604518</v>
      </c>
      <c r="BH193" s="399">
        <v>0</v>
      </c>
      <c r="BI193" s="399">
        <v>0</v>
      </c>
      <c r="BJ193" s="399">
        <v>0</v>
      </c>
      <c r="BK193" s="399">
        <v>0</v>
      </c>
      <c r="BL193" s="399">
        <v>0</v>
      </c>
      <c r="BM193" s="399"/>
      <c r="BN193" s="399"/>
      <c r="BO193" s="399"/>
      <c r="BP193" s="399"/>
      <c r="BQ193" s="399"/>
      <c r="BR193" s="399">
        <v>178.7628</v>
      </c>
      <c r="BS193" s="399"/>
      <c r="BT193" s="399"/>
      <c r="BU193" s="399"/>
      <c r="BV193" s="399">
        <v>457.60928179553235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1309.0931</v>
      </c>
      <c r="CJ193" s="399">
        <v>-368.17456000000016</v>
      </c>
      <c r="CK193" s="399"/>
      <c r="CL193" s="399"/>
      <c r="CM193" s="399"/>
      <c r="CN193" s="399"/>
      <c r="CO193" s="399">
        <v>-416.29890000000006</v>
      </c>
      <c r="CP193" s="399">
        <v>0</v>
      </c>
      <c r="CQ193" s="399"/>
      <c r="CR193" s="399">
        <v>-12.805789170516391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-1.4721973975361493</v>
      </c>
      <c r="DA193" s="399">
        <v>0</v>
      </c>
      <c r="DB193" s="399">
        <v>0</v>
      </c>
      <c r="DC193" s="399">
        <v>0</v>
      </c>
      <c r="DD193" s="399">
        <v>0</v>
      </c>
      <c r="DE193" s="399">
        <v>0</v>
      </c>
      <c r="DF193" s="399">
        <v>0</v>
      </c>
      <c r="DG193" s="399">
        <v>0</v>
      </c>
      <c r="DH193" s="399">
        <v>0</v>
      </c>
      <c r="DI193" s="399">
        <v>-9.8255355913602216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-1.3473349156328851</v>
      </c>
      <c r="DP193" s="399">
        <v>-0.1607212659871613</v>
      </c>
      <c r="DQ193" s="399">
        <v>0</v>
      </c>
      <c r="DR193" s="399">
        <v>0</v>
      </c>
      <c r="DS193" s="399"/>
      <c r="DT193" s="399"/>
      <c r="DU193" s="399"/>
      <c r="DV193" s="399">
        <v>933.90858442200704</v>
      </c>
      <c r="DW193" s="399">
        <v>0</v>
      </c>
      <c r="DX193" s="399">
        <v>0</v>
      </c>
      <c r="DY193" s="399">
        <v>-416.2989</v>
      </c>
      <c r="DZ193" s="399">
        <v>0</v>
      </c>
      <c r="EA193" s="399">
        <v>0</v>
      </c>
      <c r="EB193" s="399">
        <v>0</v>
      </c>
      <c r="EC193" s="399">
        <v>-403.46661146844315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218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2361</v>
      </c>
      <c r="C194" s="399" t="s">
        <v>2328</v>
      </c>
      <c r="D194" s="399" t="s">
        <v>2335</v>
      </c>
      <c r="E194" s="399" t="s">
        <v>894</v>
      </c>
      <c r="F194" s="399" t="s">
        <v>2363</v>
      </c>
      <c r="G194" s="399" t="s">
        <v>2340</v>
      </c>
      <c r="H194" s="399" t="s">
        <v>1239</v>
      </c>
      <c r="I194" s="399" t="s">
        <v>1239</v>
      </c>
      <c r="J194" s="399" t="s">
        <v>2329</v>
      </c>
      <c r="K194" s="789">
        <v>44531</v>
      </c>
      <c r="L194" s="399">
        <v>0</v>
      </c>
      <c r="M194" s="399">
        <v>0</v>
      </c>
      <c r="N194" s="399">
        <v>0.86199999999999999</v>
      </c>
      <c r="O194" s="399">
        <v>0.86199999999999999</v>
      </c>
      <c r="P194" s="399">
        <v>0.86199999999999999</v>
      </c>
      <c r="Q194" s="399">
        <v>0.86199999999999999</v>
      </c>
      <c r="R194" s="399"/>
      <c r="S194" s="399">
        <v>521.86</v>
      </c>
      <c r="T194" s="399">
        <v>141.32</v>
      </c>
      <c r="U194" s="399"/>
      <c r="V194" s="399">
        <v>571.66116</v>
      </c>
      <c r="W194" s="399">
        <v>571.66116</v>
      </c>
      <c r="X194" s="399">
        <v>446.80045999999999</v>
      </c>
      <c r="Y194" s="399">
        <v>0</v>
      </c>
      <c r="Z194" s="399">
        <v>52.303610629417598</v>
      </c>
      <c r="AA194" s="399">
        <v>0</v>
      </c>
      <c r="AB194" s="399">
        <v>0</v>
      </c>
      <c r="AC194" s="399">
        <v>0</v>
      </c>
      <c r="AD194" s="399">
        <v>92.711377516444941</v>
      </c>
      <c r="AE194" s="399">
        <v>280.10758516763048</v>
      </c>
      <c r="AF194" s="399">
        <v>121.81691768757194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8.0872774048141061</v>
      </c>
      <c r="AM194" s="399"/>
      <c r="AN194" s="399">
        <v>1.1954790811560965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15.434022085479155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>
        <v>53.616399999999999</v>
      </c>
      <c r="BS194" s="399"/>
      <c r="BT194" s="399"/>
      <c r="BU194" s="399"/>
      <c r="BV194" s="399">
        <v>137.2509397730511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392.27179999999998</v>
      </c>
      <c r="CJ194" s="399">
        <v>-110.81277999999998</v>
      </c>
      <c r="CK194" s="399"/>
      <c r="CL194" s="399"/>
      <c r="CM194" s="399"/>
      <c r="CN194" s="399"/>
      <c r="CO194" s="399">
        <v>-124.86070000000002</v>
      </c>
      <c r="CP194" s="399">
        <v>0</v>
      </c>
      <c r="CQ194" s="399"/>
      <c r="CR194" s="399">
        <v>-3.8408456036831353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-0.44155676989427661</v>
      </c>
      <c r="DA194" s="399">
        <v>0</v>
      </c>
      <c r="DB194" s="399">
        <v>0</v>
      </c>
      <c r="DC194" s="399">
        <v>0</v>
      </c>
      <c r="DD194" s="399">
        <v>0</v>
      </c>
      <c r="DE194" s="399">
        <v>0</v>
      </c>
      <c r="DF194" s="399">
        <v>0</v>
      </c>
      <c r="DG194" s="399">
        <v>0</v>
      </c>
      <c r="DH194" s="399">
        <v>0</v>
      </c>
      <c r="DI194" s="399">
        <v>-2.9469769240614099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-0.40410671443129598</v>
      </c>
      <c r="DP194" s="399">
        <v>-4.8205195296079806E-2</v>
      </c>
      <c r="DQ194" s="399">
        <v>0</v>
      </c>
      <c r="DR194" s="399">
        <v>0</v>
      </c>
      <c r="DS194" s="399"/>
      <c r="DT194" s="399"/>
      <c r="DU194" s="399"/>
      <c r="DV194" s="399">
        <v>280.10758516763048</v>
      </c>
      <c r="DW194" s="399">
        <v>0</v>
      </c>
      <c r="DX194" s="399">
        <v>0</v>
      </c>
      <c r="DY194" s="399">
        <v>-124.86070000000001</v>
      </c>
      <c r="DZ194" s="399">
        <v>0</v>
      </c>
      <c r="EA194" s="399">
        <v>0</v>
      </c>
      <c r="EB194" s="399">
        <v>0</v>
      </c>
      <c r="EC194" s="399">
        <v>-121.01190643208002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218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956</v>
      </c>
      <c r="C195" s="399" t="s">
        <v>2328</v>
      </c>
      <c r="D195" s="399" t="s">
        <v>2335</v>
      </c>
      <c r="E195" s="399" t="s">
        <v>894</v>
      </c>
      <c r="F195" s="399" t="s">
        <v>2363</v>
      </c>
      <c r="G195" s="399" t="s">
        <v>2341</v>
      </c>
      <c r="H195" s="399" t="s">
        <v>1239</v>
      </c>
      <c r="I195" s="399" t="s">
        <v>1239</v>
      </c>
      <c r="J195" s="399" t="s">
        <v>2329</v>
      </c>
      <c r="K195" s="789">
        <v>44531</v>
      </c>
      <c r="L195" s="399">
        <v>0</v>
      </c>
      <c r="M195" s="399">
        <v>0</v>
      </c>
      <c r="N195" s="399">
        <v>4.6260000000000003</v>
      </c>
      <c r="O195" s="399">
        <v>1.8504</v>
      </c>
      <c r="P195" s="399">
        <v>4.6260000000000003</v>
      </c>
      <c r="Q195" s="399">
        <v>1.8504</v>
      </c>
      <c r="R195" s="399"/>
      <c r="S195" s="399">
        <v>521.86</v>
      </c>
      <c r="T195" s="399">
        <v>141.32</v>
      </c>
      <c r="U195" s="399"/>
      <c r="V195" s="399">
        <v>3067.87068</v>
      </c>
      <c r="W195" s="399">
        <v>3067.87068</v>
      </c>
      <c r="X195" s="399">
        <v>2397.7945799999998</v>
      </c>
      <c r="Y195" s="399">
        <v>0</v>
      </c>
      <c r="Z195" s="399">
        <v>280.69199857504157</v>
      </c>
      <c r="AA195" s="399">
        <v>0</v>
      </c>
      <c r="AB195" s="399">
        <v>0</v>
      </c>
      <c r="AC195" s="399">
        <v>0</v>
      </c>
      <c r="AD195" s="399">
        <v>497.54388908477301</v>
      </c>
      <c r="AE195" s="399">
        <v>1503.2223770132932</v>
      </c>
      <c r="AF195" s="399">
        <v>653.74137032796739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43.401096606345774</v>
      </c>
      <c r="AM195" s="399"/>
      <c r="AN195" s="399">
        <v>6.41564527775882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82.828058198870735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/>
      <c r="BS195" s="399">
        <v>1553.771628</v>
      </c>
      <c r="BT195" s="399"/>
      <c r="BU195" s="399"/>
      <c r="BV195" s="399">
        <v>736.56942852683812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843.84050000000002</v>
      </c>
      <c r="CJ195" s="399">
        <v>-236.06443600000011</v>
      </c>
      <c r="CK195" s="399"/>
      <c r="CL195" s="399"/>
      <c r="CM195" s="399"/>
      <c r="CN195" s="399"/>
      <c r="CO195" s="399">
        <v>-670.07610000000011</v>
      </c>
      <c r="CP195" s="399">
        <v>0</v>
      </c>
      <c r="CQ195" s="399"/>
      <c r="CR195" s="399">
        <v>-20.612241023942261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-2.369653848643793</v>
      </c>
      <c r="DA195" s="399">
        <v>0</v>
      </c>
      <c r="DB195" s="399">
        <v>0</v>
      </c>
      <c r="DC195" s="399">
        <v>0</v>
      </c>
      <c r="DD195" s="399">
        <v>0</v>
      </c>
      <c r="DE195" s="399">
        <v>0</v>
      </c>
      <c r="DF195" s="399">
        <v>0</v>
      </c>
      <c r="DG195" s="399">
        <v>0</v>
      </c>
      <c r="DH195" s="399">
        <v>0</v>
      </c>
      <c r="DI195" s="399">
        <v>-15.815214908014013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-2.168674780695099</v>
      </c>
      <c r="DP195" s="399">
        <v>-0.25869748658893865</v>
      </c>
      <c r="DQ195" s="399">
        <v>0</v>
      </c>
      <c r="DR195" s="399">
        <v>0</v>
      </c>
      <c r="DS195" s="399"/>
      <c r="DT195" s="399"/>
      <c r="DU195" s="399"/>
      <c r="DV195" s="399">
        <v>1503.2223770132932</v>
      </c>
      <c r="DW195" s="399">
        <v>0</v>
      </c>
      <c r="DX195" s="399">
        <v>0</v>
      </c>
      <c r="DY195" s="399">
        <v>-670.07610000000022</v>
      </c>
      <c r="DZ195" s="399">
        <v>0</v>
      </c>
      <c r="EA195" s="399">
        <v>0</v>
      </c>
      <c r="EB195" s="399">
        <v>0</v>
      </c>
      <c r="EC195" s="399">
        <v>-649.42120551601192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218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2361</v>
      </c>
      <c r="C196" s="399" t="s">
        <v>2328</v>
      </c>
      <c r="D196" s="399" t="s">
        <v>2335</v>
      </c>
      <c r="E196" s="399" t="s">
        <v>894</v>
      </c>
      <c r="F196" s="399" t="s">
        <v>2363</v>
      </c>
      <c r="G196" s="399" t="s">
        <v>2341</v>
      </c>
      <c r="H196" s="399" t="s">
        <v>1239</v>
      </c>
      <c r="I196" s="399" t="s">
        <v>1239</v>
      </c>
      <c r="J196" s="399" t="s">
        <v>2329</v>
      </c>
      <c r="K196" s="789">
        <v>44531</v>
      </c>
      <c r="L196" s="399">
        <v>0</v>
      </c>
      <c r="M196" s="399">
        <v>0</v>
      </c>
      <c r="N196" s="399">
        <v>0.39100000000000001</v>
      </c>
      <c r="O196" s="399">
        <v>0.15640000000000001</v>
      </c>
      <c r="P196" s="399">
        <v>0.39100000000000001</v>
      </c>
      <c r="Q196" s="399">
        <v>0.15640000000000001</v>
      </c>
      <c r="R196" s="399"/>
      <c r="S196" s="399">
        <v>521.86</v>
      </c>
      <c r="T196" s="399">
        <v>141.32</v>
      </c>
      <c r="U196" s="399"/>
      <c r="V196" s="399">
        <v>259.30338</v>
      </c>
      <c r="W196" s="399">
        <v>259.30338</v>
      </c>
      <c r="X196" s="399">
        <v>202.66703000000001</v>
      </c>
      <c r="Y196" s="399">
        <v>0</v>
      </c>
      <c r="Z196" s="399">
        <v>23.724723614967846</v>
      </c>
      <c r="AA196" s="399">
        <v>0</v>
      </c>
      <c r="AB196" s="399">
        <v>0</v>
      </c>
      <c r="AC196" s="399">
        <v>0</v>
      </c>
      <c r="AD196" s="399">
        <v>42.053536669292313</v>
      </c>
      <c r="AE196" s="399">
        <v>127.05576078949365</v>
      </c>
      <c r="AF196" s="399">
        <v>55.25570164250653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3.6683590084481619</v>
      </c>
      <c r="AM196" s="399"/>
      <c r="AN196" s="399">
        <v>0.54226487323901829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7.0008151222997101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>
        <v>131.32829799999999</v>
      </c>
      <c r="BT196" s="399"/>
      <c r="BU196" s="399"/>
      <c r="BV196" s="399">
        <v>62.256516764806243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72.980800000000002</v>
      </c>
      <c r="CJ196" s="399">
        <v>-18.32267600000003</v>
      </c>
      <c r="CK196" s="399"/>
      <c r="CL196" s="399"/>
      <c r="CM196" s="399"/>
      <c r="CN196" s="399"/>
      <c r="CO196" s="399">
        <v>-56.636350000000014</v>
      </c>
      <c r="CP196" s="399">
        <v>0</v>
      </c>
      <c r="CQ196" s="399"/>
      <c r="CR196" s="399">
        <v>-1.7421933074710978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-0.20028851163417727</v>
      </c>
      <c r="DA196" s="399">
        <v>0</v>
      </c>
      <c r="DB196" s="399">
        <v>0</v>
      </c>
      <c r="DC196" s="399">
        <v>0</v>
      </c>
      <c r="DD196" s="399">
        <v>0</v>
      </c>
      <c r="DE196" s="399">
        <v>0</v>
      </c>
      <c r="DF196" s="399">
        <v>0</v>
      </c>
      <c r="DG196" s="399">
        <v>0</v>
      </c>
      <c r="DH196" s="399">
        <v>0</v>
      </c>
      <c r="DI196" s="399">
        <v>-1.3367377927007098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-0.1833013055018986</v>
      </c>
      <c r="DP196" s="399">
        <v>-2.1865697634300685E-2</v>
      </c>
      <c r="DQ196" s="399">
        <v>0</v>
      </c>
      <c r="DR196" s="399">
        <v>0</v>
      </c>
      <c r="DS196" s="399"/>
      <c r="DT196" s="399"/>
      <c r="DU196" s="399"/>
      <c r="DV196" s="399">
        <v>127.05576078949365</v>
      </c>
      <c r="DW196" s="399">
        <v>0</v>
      </c>
      <c r="DX196" s="399">
        <v>0</v>
      </c>
      <c r="DY196" s="399">
        <v>-56.636350000000022</v>
      </c>
      <c r="DZ196" s="399">
        <v>0</v>
      </c>
      <c r="EA196" s="399">
        <v>0</v>
      </c>
      <c r="EB196" s="399">
        <v>0</v>
      </c>
      <c r="EC196" s="399">
        <v>-54.89055152545626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218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956</v>
      </c>
      <c r="C197" s="399" t="s">
        <v>2328</v>
      </c>
      <c r="D197" s="399" t="s">
        <v>2335</v>
      </c>
      <c r="E197" s="399" t="s">
        <v>894</v>
      </c>
      <c r="F197" s="399" t="s">
        <v>2342</v>
      </c>
      <c r="G197" s="399" t="s">
        <v>2340</v>
      </c>
      <c r="H197" s="399" t="s">
        <v>1239</v>
      </c>
      <c r="I197" s="399" t="s">
        <v>1239</v>
      </c>
      <c r="J197" s="399" t="s">
        <v>2329</v>
      </c>
      <c r="K197" s="789">
        <v>44531</v>
      </c>
      <c r="L197" s="399">
        <v>0</v>
      </c>
      <c r="M197" s="399">
        <v>0</v>
      </c>
      <c r="N197" s="399">
        <v>0</v>
      </c>
      <c r="O197" s="399">
        <v>0</v>
      </c>
      <c r="P197" s="399">
        <v>0</v>
      </c>
      <c r="Q197" s="399">
        <v>0</v>
      </c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>
        <v>0</v>
      </c>
      <c r="AB197" s="399"/>
      <c r="AC197" s="399"/>
      <c r="AD197" s="399"/>
      <c r="AE197" s="399"/>
      <c r="AF197" s="399"/>
      <c r="AG197" s="399"/>
      <c r="AH197" s="399"/>
      <c r="AI197" s="399"/>
      <c r="AJ197" s="399"/>
      <c r="AK197" s="399"/>
      <c r="AL197" s="399"/>
      <c r="AM197" s="399"/>
      <c r="AN197" s="399"/>
      <c r="AO197" s="399"/>
      <c r="AP197" s="399"/>
      <c r="AQ197" s="399"/>
      <c r="AR197" s="399"/>
      <c r="AS197" s="399"/>
      <c r="AT197" s="399"/>
      <c r="AU197" s="399"/>
      <c r="AV197" s="399"/>
      <c r="AW197" s="399"/>
      <c r="AX197" s="399"/>
      <c r="AY197" s="399"/>
      <c r="AZ197" s="399">
        <v>0</v>
      </c>
      <c r="BA197" s="399"/>
      <c r="BB197" s="399"/>
      <c r="BC197" s="399"/>
      <c r="BD197" s="399"/>
      <c r="BE197" s="399"/>
      <c r="BF197" s="399"/>
      <c r="BG197" s="399"/>
      <c r="BH197" s="399"/>
      <c r="BI197" s="399">
        <v>54.25</v>
      </c>
      <c r="BJ197" s="399">
        <v>250.79</v>
      </c>
      <c r="BK197" s="399">
        <v>2134.56</v>
      </c>
      <c r="BL197" s="399">
        <v>15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/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/>
      <c r="CJ197" s="399">
        <v>-0.03</v>
      </c>
      <c r="CK197" s="399"/>
      <c r="CL197" s="399"/>
      <c r="CM197" s="399"/>
      <c r="CN197" s="399"/>
      <c r="CO197" s="399">
        <v>0</v>
      </c>
      <c r="CP197" s="399">
        <v>0</v>
      </c>
      <c r="CQ197" s="399"/>
      <c r="CR197" s="399"/>
      <c r="CS197" s="399"/>
      <c r="CT197" s="399"/>
      <c r="CU197" s="399"/>
      <c r="CV197" s="399"/>
      <c r="CW197" s="399"/>
      <c r="CX197" s="399"/>
      <c r="CY197" s="399"/>
      <c r="CZ197" s="399"/>
      <c r="DA197" s="399"/>
      <c r="DB197" s="399"/>
      <c r="DC197" s="399"/>
      <c r="DD197" s="399"/>
      <c r="DE197" s="399"/>
      <c r="DF197" s="399"/>
      <c r="DG197" s="399"/>
      <c r="DH197" s="399"/>
      <c r="DI197" s="399"/>
      <c r="DJ197" s="399"/>
      <c r="DK197" s="399">
        <v>0</v>
      </c>
      <c r="DL197" s="399"/>
      <c r="DM197" s="399"/>
      <c r="DN197" s="399"/>
      <c r="DO197" s="399"/>
      <c r="DP197" s="399"/>
      <c r="DQ197" s="399"/>
      <c r="DR197" s="399"/>
      <c r="DS197" s="399"/>
      <c r="DT197" s="399"/>
      <c r="DU197" s="399"/>
      <c r="DV197" s="399"/>
      <c r="DW197" s="399"/>
      <c r="DX197" s="399"/>
      <c r="DY197" s="399"/>
      <c r="DZ197" s="399"/>
      <c r="EA197" s="399"/>
      <c r="EB197" s="399"/>
      <c r="EC197" s="399"/>
      <c r="ED197" s="399"/>
      <c r="EE197" s="399"/>
      <c r="EF197" s="399"/>
      <c r="EG197" s="399"/>
      <c r="EH197" s="399"/>
      <c r="EI197" s="399"/>
      <c r="EJ197" s="399"/>
      <c r="EK197" s="399"/>
      <c r="EL197" s="399"/>
      <c r="EM197" s="399"/>
      <c r="EN197" s="399"/>
      <c r="EO197" s="399"/>
      <c r="EP197" s="399"/>
      <c r="EQ197" s="399"/>
      <c r="ER197" s="399"/>
      <c r="ES197" s="399"/>
      <c r="ET197" s="399"/>
      <c r="EU197" s="399"/>
      <c r="EV197" s="399">
        <v>218</v>
      </c>
      <c r="EW197" s="399"/>
      <c r="EX197" s="399"/>
      <c r="EY197" s="399"/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2361</v>
      </c>
      <c r="C198" s="399" t="s">
        <v>2328</v>
      </c>
      <c r="D198" s="399" t="s">
        <v>2335</v>
      </c>
      <c r="E198" s="399" t="s">
        <v>894</v>
      </c>
      <c r="F198" s="399" t="s">
        <v>2342</v>
      </c>
      <c r="G198" s="399" t="s">
        <v>2340</v>
      </c>
      <c r="H198" s="399" t="s">
        <v>1239</v>
      </c>
      <c r="I198" s="399" t="s">
        <v>1239</v>
      </c>
      <c r="J198" s="399" t="s">
        <v>2329</v>
      </c>
      <c r="K198" s="789">
        <v>44531</v>
      </c>
      <c r="L198" s="399">
        <v>0</v>
      </c>
      <c r="M198" s="399">
        <v>0</v>
      </c>
      <c r="N198" s="399">
        <v>0</v>
      </c>
      <c r="O198" s="399">
        <v>0</v>
      </c>
      <c r="P198" s="399">
        <v>0</v>
      </c>
      <c r="Q198" s="399">
        <v>0</v>
      </c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>
        <v>0</v>
      </c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AZ198" s="399">
        <v>0</v>
      </c>
      <c r="BA198" s="399"/>
      <c r="BB198" s="399"/>
      <c r="BC198" s="399"/>
      <c r="BD198" s="399"/>
      <c r="BE198" s="399"/>
      <c r="BF198" s="399"/>
      <c r="BG198" s="399"/>
      <c r="BH198" s="399"/>
      <c r="BI198" s="399">
        <v>25.03</v>
      </c>
      <c r="BJ198" s="399">
        <v>115.59</v>
      </c>
      <c r="BK198" s="399">
        <v>1178.98</v>
      </c>
      <c r="BL198" s="399">
        <v>5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/>
      <c r="CJ198" s="399">
        <v>-0.03</v>
      </c>
      <c r="CK198" s="399"/>
      <c r="CL198" s="399"/>
      <c r="CM198" s="399"/>
      <c r="CN198" s="399"/>
      <c r="CO198" s="399">
        <v>0</v>
      </c>
      <c r="CP198" s="399">
        <v>0</v>
      </c>
      <c r="CQ198" s="399"/>
      <c r="CR198" s="399"/>
      <c r="CS198" s="399"/>
      <c r="CT198" s="399"/>
      <c r="CU198" s="399"/>
      <c r="CV198" s="399"/>
      <c r="CW198" s="399"/>
      <c r="CX198" s="399"/>
      <c r="CY198" s="399"/>
      <c r="CZ198" s="399"/>
      <c r="DA198" s="399"/>
      <c r="DB198" s="399"/>
      <c r="DC198" s="399"/>
      <c r="DD198" s="399"/>
      <c r="DE198" s="399"/>
      <c r="DF198" s="399"/>
      <c r="DG198" s="399"/>
      <c r="DH198" s="399"/>
      <c r="DI198" s="399"/>
      <c r="DJ198" s="399"/>
      <c r="DK198" s="399">
        <v>0</v>
      </c>
      <c r="DL198" s="399"/>
      <c r="DM198" s="399"/>
      <c r="DN198" s="399"/>
      <c r="DO198" s="399"/>
      <c r="DP198" s="399"/>
      <c r="DQ198" s="399"/>
      <c r="DR198" s="399"/>
      <c r="DS198" s="399"/>
      <c r="DT198" s="399"/>
      <c r="DU198" s="399"/>
      <c r="DV198" s="399"/>
      <c r="DW198" s="399"/>
      <c r="DX198" s="399"/>
      <c r="DY198" s="399"/>
      <c r="DZ198" s="399"/>
      <c r="EA198" s="399"/>
      <c r="EB198" s="399"/>
      <c r="EC198" s="399"/>
      <c r="ED198" s="399"/>
      <c r="EE198" s="399"/>
      <c r="EF198" s="399"/>
      <c r="EG198" s="399"/>
      <c r="EH198" s="399"/>
      <c r="EI198" s="399"/>
      <c r="EJ198" s="399"/>
      <c r="EK198" s="399"/>
      <c r="EL198" s="399"/>
      <c r="EM198" s="399"/>
      <c r="EN198" s="399"/>
      <c r="EO198" s="399"/>
      <c r="EP198" s="399"/>
      <c r="EQ198" s="399"/>
      <c r="ER198" s="399"/>
      <c r="ES198" s="399"/>
      <c r="ET198" s="399"/>
      <c r="EU198" s="399"/>
      <c r="EV198" s="399">
        <v>218</v>
      </c>
      <c r="EW198" s="399"/>
      <c r="EX198" s="399"/>
      <c r="EY198" s="399"/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956</v>
      </c>
      <c r="C199" s="399" t="s">
        <v>2328</v>
      </c>
      <c r="D199" s="399" t="s">
        <v>2335</v>
      </c>
      <c r="E199" s="399" t="s">
        <v>894</v>
      </c>
      <c r="F199" s="399" t="s">
        <v>2342</v>
      </c>
      <c r="G199" s="399" t="s">
        <v>2340</v>
      </c>
      <c r="H199" s="399" t="s">
        <v>1239</v>
      </c>
      <c r="I199" s="399" t="s">
        <v>1239</v>
      </c>
      <c r="J199" s="399" t="s">
        <v>2329</v>
      </c>
      <c r="K199" s="789">
        <v>44531</v>
      </c>
      <c r="L199" s="399">
        <v>0</v>
      </c>
      <c r="M199" s="399">
        <v>0</v>
      </c>
      <c r="N199" s="399">
        <v>4.41</v>
      </c>
      <c r="O199" s="399">
        <v>4.41</v>
      </c>
      <c r="P199" s="399">
        <v>4.41</v>
      </c>
      <c r="Q199" s="399">
        <v>4.41</v>
      </c>
      <c r="R199" s="399"/>
      <c r="S199" s="399">
        <v>521.86</v>
      </c>
      <c r="T199" s="399">
        <v>141.32</v>
      </c>
      <c r="U199" s="399"/>
      <c r="V199" s="399">
        <v>2924.6238000000003</v>
      </c>
      <c r="W199" s="399">
        <v>2924.6238000000003</v>
      </c>
      <c r="X199" s="399">
        <v>2285.8352999999997</v>
      </c>
      <c r="Y199" s="399">
        <v>0</v>
      </c>
      <c r="Z199" s="399">
        <v>267.58575739644039</v>
      </c>
      <c r="AA199" s="399">
        <v>0</v>
      </c>
      <c r="AB199" s="399">
        <v>0</v>
      </c>
      <c r="AC199" s="399">
        <v>0</v>
      </c>
      <c r="AD199" s="399">
        <v>474.31226780455012</v>
      </c>
      <c r="AE199" s="399">
        <v>1433.0330053239566</v>
      </c>
      <c r="AF199" s="399">
        <v>623.21648144105836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41.37458625896776</v>
      </c>
      <c r="AM199" s="399"/>
      <c r="AN199" s="399">
        <v>6.116082074128057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78.960600228495451</v>
      </c>
      <c r="BH199" s="399">
        <v>0</v>
      </c>
      <c r="BI199" s="399">
        <v>0</v>
      </c>
      <c r="BJ199" s="399">
        <v>0</v>
      </c>
      <c r="BK199" s="399">
        <v>0</v>
      </c>
      <c r="BL199" s="399">
        <v>0</v>
      </c>
      <c r="BM199" s="399"/>
      <c r="BN199" s="399"/>
      <c r="BO199" s="399"/>
      <c r="BP199" s="399"/>
      <c r="BQ199" s="399"/>
      <c r="BR199" s="399">
        <v>274.30200000000002</v>
      </c>
      <c r="BS199" s="399"/>
      <c r="BT199" s="399"/>
      <c r="BU199" s="399"/>
      <c r="BV199" s="399">
        <v>702.17708166955379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2011.5333000000001</v>
      </c>
      <c r="CJ199" s="399">
        <v>-562.12860000000001</v>
      </c>
      <c r="CK199" s="399"/>
      <c r="CL199" s="399"/>
      <c r="CM199" s="399"/>
      <c r="CN199" s="399"/>
      <c r="CO199" s="399">
        <v>-638.78850000000011</v>
      </c>
      <c r="CP199" s="399">
        <v>0</v>
      </c>
      <c r="CQ199" s="399"/>
      <c r="CR199" s="399">
        <v>-19.649801754341524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-2.2590085327537963</v>
      </c>
      <c r="DA199" s="399">
        <v>0</v>
      </c>
      <c r="DB199" s="399">
        <v>0</v>
      </c>
      <c r="DC199" s="399">
        <v>0</v>
      </c>
      <c r="DD199" s="399">
        <v>0</v>
      </c>
      <c r="DE199" s="399">
        <v>0</v>
      </c>
      <c r="DF199" s="399">
        <v>0</v>
      </c>
      <c r="DG199" s="399">
        <v>0</v>
      </c>
      <c r="DH199" s="399">
        <v>0</v>
      </c>
      <c r="DI199" s="399">
        <v>-15.076761293632018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-2.0674137014408558</v>
      </c>
      <c r="DP199" s="399">
        <v>-0.2466182265147463</v>
      </c>
      <c r="DQ199" s="399">
        <v>0</v>
      </c>
      <c r="DR199" s="399">
        <v>0</v>
      </c>
      <c r="DS199" s="399"/>
      <c r="DT199" s="399"/>
      <c r="DU199" s="399"/>
      <c r="DV199" s="399">
        <v>1433.0330053239566</v>
      </c>
      <c r="DW199" s="399">
        <v>0</v>
      </c>
      <c r="DX199" s="399">
        <v>0</v>
      </c>
      <c r="DY199" s="399">
        <v>-638.78850000000034</v>
      </c>
      <c r="DZ199" s="399">
        <v>0</v>
      </c>
      <c r="EA199" s="399">
        <v>0</v>
      </c>
      <c r="EB199" s="399">
        <v>0</v>
      </c>
      <c r="EC199" s="399">
        <v>-619.09803638685969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218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2361</v>
      </c>
      <c r="C200" s="399" t="s">
        <v>2328</v>
      </c>
      <c r="D200" s="399" t="s">
        <v>2335</v>
      </c>
      <c r="E200" s="399" t="s">
        <v>894</v>
      </c>
      <c r="F200" s="399" t="s">
        <v>2342</v>
      </c>
      <c r="G200" s="399" t="s">
        <v>2340</v>
      </c>
      <c r="H200" s="399" t="s">
        <v>1239</v>
      </c>
      <c r="I200" s="399" t="s">
        <v>1239</v>
      </c>
      <c r="J200" s="399" t="s">
        <v>2329</v>
      </c>
      <c r="K200" s="789">
        <v>44531</v>
      </c>
      <c r="L200" s="399">
        <v>0</v>
      </c>
      <c r="M200" s="399">
        <v>0</v>
      </c>
      <c r="N200" s="399">
        <v>1.4179999999999999</v>
      </c>
      <c r="O200" s="399">
        <v>1.4179999999999999</v>
      </c>
      <c r="P200" s="399">
        <v>1.4179999999999999</v>
      </c>
      <c r="Q200" s="399">
        <v>1.4179999999999999</v>
      </c>
      <c r="R200" s="399"/>
      <c r="S200" s="399">
        <v>521.86</v>
      </c>
      <c r="T200" s="399">
        <v>141.32</v>
      </c>
      <c r="U200" s="399"/>
      <c r="V200" s="399">
        <v>940.38923999999997</v>
      </c>
      <c r="W200" s="399">
        <v>940.38923999999997</v>
      </c>
      <c r="X200" s="399">
        <v>734.99193999999989</v>
      </c>
      <c r="Y200" s="399">
        <v>0</v>
      </c>
      <c r="Z200" s="399">
        <v>86.04004625581689</v>
      </c>
      <c r="AA200" s="399">
        <v>0</v>
      </c>
      <c r="AB200" s="399">
        <v>0</v>
      </c>
      <c r="AC200" s="399">
        <v>0</v>
      </c>
      <c r="AD200" s="399">
        <v>152.51129155257416</v>
      </c>
      <c r="AE200" s="399">
        <v>460.78022710870073</v>
      </c>
      <c r="AF200" s="399">
        <v>200.39024278535615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13.303665150842694</v>
      </c>
      <c r="AM200" s="399"/>
      <c r="AN200" s="399">
        <v>1.9665769571686134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25.38914537959332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>
        <v>88.199600000000004</v>
      </c>
      <c r="BS200" s="399"/>
      <c r="BT200" s="399"/>
      <c r="BU200" s="399"/>
      <c r="BV200" s="399">
        <v>225.77938816494947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647.70459999999991</v>
      </c>
      <c r="CJ200" s="399">
        <v>-179.85602000000006</v>
      </c>
      <c r="CK200" s="399"/>
      <c r="CL200" s="399"/>
      <c r="CM200" s="399"/>
      <c r="CN200" s="399"/>
      <c r="CO200" s="399">
        <v>-205.39730000000003</v>
      </c>
      <c r="CP200" s="399">
        <v>0</v>
      </c>
      <c r="CQ200" s="399"/>
      <c r="CR200" s="399">
        <v>-6.3182355754321975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-0.72636600894441017</v>
      </c>
      <c r="DA200" s="399">
        <v>0</v>
      </c>
      <c r="DB200" s="399">
        <v>0</v>
      </c>
      <c r="DC200" s="399">
        <v>0</v>
      </c>
      <c r="DD200" s="399">
        <v>0</v>
      </c>
      <c r="DE200" s="399">
        <v>0</v>
      </c>
      <c r="DF200" s="399">
        <v>0</v>
      </c>
      <c r="DG200" s="399">
        <v>0</v>
      </c>
      <c r="DH200" s="399">
        <v>0</v>
      </c>
      <c r="DI200" s="399">
        <v>-4.8478112277483518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-0.66476023325241052</v>
      </c>
      <c r="DP200" s="399">
        <v>-7.9298105487054737E-2</v>
      </c>
      <c r="DQ200" s="399">
        <v>0</v>
      </c>
      <c r="DR200" s="399">
        <v>0</v>
      </c>
      <c r="DS200" s="399"/>
      <c r="DT200" s="399"/>
      <c r="DU200" s="399"/>
      <c r="DV200" s="399">
        <v>460.78022710870073</v>
      </c>
      <c r="DW200" s="399">
        <v>0</v>
      </c>
      <c r="DX200" s="399">
        <v>0</v>
      </c>
      <c r="DY200" s="399">
        <v>-205.39730000000009</v>
      </c>
      <c r="DZ200" s="399">
        <v>0</v>
      </c>
      <c r="EA200" s="399">
        <v>0</v>
      </c>
      <c r="EB200" s="399">
        <v>0</v>
      </c>
      <c r="EC200" s="399">
        <v>-199.06598993119428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218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956</v>
      </c>
      <c r="C201" s="399" t="s">
        <v>2328</v>
      </c>
      <c r="D201" s="399" t="s">
        <v>2335</v>
      </c>
      <c r="E201" s="399" t="s">
        <v>894</v>
      </c>
      <c r="F201" s="399" t="s">
        <v>2342</v>
      </c>
      <c r="G201" s="399" t="s">
        <v>2341</v>
      </c>
      <c r="H201" s="399" t="s">
        <v>1239</v>
      </c>
      <c r="I201" s="399" t="s">
        <v>1239</v>
      </c>
      <c r="J201" s="399" t="s">
        <v>2329</v>
      </c>
      <c r="K201" s="789">
        <v>44531</v>
      </c>
      <c r="L201" s="399">
        <v>0</v>
      </c>
      <c r="M201" s="399">
        <v>0</v>
      </c>
      <c r="N201" s="399">
        <v>7.7880000000000003</v>
      </c>
      <c r="O201" s="399">
        <v>3.1152000000000002</v>
      </c>
      <c r="P201" s="399">
        <v>7.7880000000000003</v>
      </c>
      <c r="Q201" s="399">
        <v>3.1152000000000002</v>
      </c>
      <c r="R201" s="399"/>
      <c r="S201" s="399">
        <v>521.86</v>
      </c>
      <c r="T201" s="399">
        <v>141.32</v>
      </c>
      <c r="U201" s="399"/>
      <c r="V201" s="399">
        <v>5164.84584</v>
      </c>
      <c r="W201" s="399">
        <v>5164.84584</v>
      </c>
      <c r="X201" s="399">
        <v>4036.7540399999998</v>
      </c>
      <c r="Y201" s="399">
        <v>0</v>
      </c>
      <c r="Z201" s="399">
        <v>472.55280693956416</v>
      </c>
      <c r="AA201" s="399">
        <v>0</v>
      </c>
      <c r="AB201" s="399">
        <v>0</v>
      </c>
      <c r="AC201" s="399">
        <v>0</v>
      </c>
      <c r="AD201" s="399">
        <v>837.62901171470219</v>
      </c>
      <c r="AE201" s="399">
        <v>2530.7167903544155</v>
      </c>
      <c r="AF201" s="399">
        <v>1100.591827089107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73.06695641379612</v>
      </c>
      <c r="AM201" s="399"/>
      <c r="AN201" s="399">
        <v>10.800917730909141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139.4433457096423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>
        <v>2615.8178640000001</v>
      </c>
      <c r="BT201" s="399"/>
      <c r="BU201" s="399"/>
      <c r="BV201" s="399">
        <v>1240.0351727987493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1423.1255999999998</v>
      </c>
      <c r="CJ201" s="399">
        <v>-394.9039680000003</v>
      </c>
      <c r="CK201" s="399"/>
      <c r="CL201" s="399"/>
      <c r="CM201" s="399"/>
      <c r="CN201" s="399"/>
      <c r="CO201" s="399">
        <v>-1128.0918000000001</v>
      </c>
      <c r="CP201" s="399">
        <v>0</v>
      </c>
      <c r="CQ201" s="399"/>
      <c r="CR201" s="399">
        <v>-34.701282553925012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-3.9893783340332902</v>
      </c>
      <c r="DA201" s="399">
        <v>0</v>
      </c>
      <c r="DB201" s="399">
        <v>0</v>
      </c>
      <c r="DC201" s="399">
        <v>0</v>
      </c>
      <c r="DD201" s="399">
        <v>0</v>
      </c>
      <c r="DE201" s="399">
        <v>0</v>
      </c>
      <c r="DF201" s="399">
        <v>0</v>
      </c>
      <c r="DG201" s="399">
        <v>0</v>
      </c>
      <c r="DH201" s="399">
        <v>0</v>
      </c>
      <c r="DI201" s="399">
        <v>-26.625355318550191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-3.6510244686669751</v>
      </c>
      <c r="DP201" s="399">
        <v>-0.43552443267502206</v>
      </c>
      <c r="DQ201" s="399">
        <v>0</v>
      </c>
      <c r="DR201" s="399">
        <v>0</v>
      </c>
      <c r="DS201" s="399"/>
      <c r="DT201" s="399"/>
      <c r="DU201" s="399"/>
      <c r="DV201" s="399">
        <v>2530.7167903544155</v>
      </c>
      <c r="DW201" s="399">
        <v>0</v>
      </c>
      <c r="DX201" s="399">
        <v>0</v>
      </c>
      <c r="DY201" s="399">
        <v>-1128.0918000000006</v>
      </c>
      <c r="DZ201" s="399">
        <v>0</v>
      </c>
      <c r="EA201" s="399">
        <v>0</v>
      </c>
      <c r="EB201" s="399">
        <v>0</v>
      </c>
      <c r="EC201" s="399">
        <v>-1093.3187091566579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218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2361</v>
      </c>
      <c r="C202" s="399" t="s">
        <v>2328</v>
      </c>
      <c r="D202" s="399" t="s">
        <v>2335</v>
      </c>
      <c r="E202" s="399" t="s">
        <v>894</v>
      </c>
      <c r="F202" s="399" t="s">
        <v>2342</v>
      </c>
      <c r="G202" s="399" t="s">
        <v>2341</v>
      </c>
      <c r="H202" s="399" t="s">
        <v>1239</v>
      </c>
      <c r="I202" s="399" t="s">
        <v>1239</v>
      </c>
      <c r="J202" s="399" t="s">
        <v>2329</v>
      </c>
      <c r="K202" s="789">
        <v>44531</v>
      </c>
      <c r="L202" s="399">
        <v>0</v>
      </c>
      <c r="M202" s="399">
        <v>0</v>
      </c>
      <c r="N202" s="399">
        <v>4.2050000000000001</v>
      </c>
      <c r="O202" s="399">
        <v>1.6819999999999999</v>
      </c>
      <c r="P202" s="399">
        <v>4.2050000000000001</v>
      </c>
      <c r="Q202" s="399">
        <v>1.6819999999999999</v>
      </c>
      <c r="R202" s="399"/>
      <c r="S202" s="399">
        <v>521.86</v>
      </c>
      <c r="T202" s="399">
        <v>141.32</v>
      </c>
      <c r="U202" s="399"/>
      <c r="V202" s="399">
        <v>2788.6718999999998</v>
      </c>
      <c r="W202" s="399">
        <v>2788.6718999999998</v>
      </c>
      <c r="X202" s="399">
        <v>2179.5776500000002</v>
      </c>
      <c r="Y202" s="399">
        <v>0</v>
      </c>
      <c r="Z202" s="399">
        <v>255.14696368526799</v>
      </c>
      <c r="AA202" s="399">
        <v>0</v>
      </c>
      <c r="AB202" s="399">
        <v>0</v>
      </c>
      <c r="AC202" s="399">
        <v>0</v>
      </c>
      <c r="AD202" s="399">
        <v>452.26373834878308</v>
      </c>
      <c r="AE202" s="399">
        <v>1366.4180923780582</v>
      </c>
      <c r="AF202" s="399">
        <v>594.24610078450121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39.451277827428441</v>
      </c>
      <c r="AM202" s="399"/>
      <c r="AN202" s="399">
        <v>5.8317744040155288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75.290096136241118</v>
      </c>
      <c r="BH202" s="399">
        <v>0</v>
      </c>
      <c r="BI202" s="399">
        <v>0</v>
      </c>
      <c r="BJ202" s="399">
        <v>0</v>
      </c>
      <c r="BK202" s="399">
        <v>0</v>
      </c>
      <c r="BL202" s="399">
        <v>0</v>
      </c>
      <c r="BM202" s="399"/>
      <c r="BN202" s="399"/>
      <c r="BO202" s="399"/>
      <c r="BP202" s="399"/>
      <c r="BQ202" s="399"/>
      <c r="BR202" s="399"/>
      <c r="BS202" s="399">
        <v>1412.3669900000002</v>
      </c>
      <c r="BT202" s="399"/>
      <c r="BU202" s="399"/>
      <c r="BV202" s="399">
        <v>669.53619692074233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766.2983999999999</v>
      </c>
      <c r="CJ202" s="399">
        <v>-215.32997999999998</v>
      </c>
      <c r="CK202" s="399"/>
      <c r="CL202" s="399"/>
      <c r="CM202" s="399"/>
      <c r="CN202" s="399"/>
      <c r="CO202" s="399">
        <v>-609.0942500000001</v>
      </c>
      <c r="CP202" s="399">
        <v>0</v>
      </c>
      <c r="CQ202" s="399"/>
      <c r="CR202" s="399">
        <v>-18.736375595693062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-2.153997932024879</v>
      </c>
      <c r="DA202" s="399">
        <v>0</v>
      </c>
      <c r="DB202" s="399">
        <v>0</v>
      </c>
      <c r="DC202" s="399">
        <v>0</v>
      </c>
      <c r="DD202" s="399">
        <v>0</v>
      </c>
      <c r="DE202" s="399">
        <v>0</v>
      </c>
      <c r="DF202" s="399">
        <v>0</v>
      </c>
      <c r="DG202" s="399">
        <v>0</v>
      </c>
      <c r="DH202" s="399">
        <v>0</v>
      </c>
      <c r="DI202" s="399">
        <v>-14.375914113315815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-1.9713094364078856</v>
      </c>
      <c r="DP202" s="399">
        <v>-0.23515411394433361</v>
      </c>
      <c r="DQ202" s="399">
        <v>0</v>
      </c>
      <c r="DR202" s="399">
        <v>0</v>
      </c>
      <c r="DS202" s="399"/>
      <c r="DT202" s="399"/>
      <c r="DU202" s="399"/>
      <c r="DV202" s="399">
        <v>1366.4180923780582</v>
      </c>
      <c r="DW202" s="399">
        <v>0</v>
      </c>
      <c r="DX202" s="399">
        <v>0</v>
      </c>
      <c r="DY202" s="399">
        <v>-609.09424999999987</v>
      </c>
      <c r="DZ202" s="399">
        <v>0</v>
      </c>
      <c r="EA202" s="399">
        <v>0</v>
      </c>
      <c r="EB202" s="399">
        <v>0</v>
      </c>
      <c r="EC202" s="399">
        <v>-590.31910272261769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218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956</v>
      </c>
      <c r="C203" s="399" t="s">
        <v>2328</v>
      </c>
      <c r="D203" s="399" t="s">
        <v>1823</v>
      </c>
      <c r="E203" s="399" t="s">
        <v>889</v>
      </c>
      <c r="F203" s="399" t="s">
        <v>889</v>
      </c>
      <c r="G203" s="399" t="s">
        <v>1239</v>
      </c>
      <c r="H203" s="399" t="s">
        <v>1239</v>
      </c>
      <c r="I203" s="399" t="s">
        <v>1239</v>
      </c>
      <c r="J203" s="399" t="s">
        <v>2329</v>
      </c>
      <c r="K203" s="789">
        <v>44562</v>
      </c>
      <c r="L203" s="399">
        <v>0</v>
      </c>
      <c r="M203" s="399">
        <v>0</v>
      </c>
      <c r="N203" s="399">
        <v>1185.921</v>
      </c>
      <c r="O203" s="399">
        <v>1185.921</v>
      </c>
      <c r="P203" s="399">
        <v>1185.921</v>
      </c>
      <c r="Q203" s="399">
        <v>1185.921</v>
      </c>
      <c r="R203" s="399"/>
      <c r="S203" s="399">
        <v>521.86</v>
      </c>
      <c r="T203" s="399">
        <v>141.32</v>
      </c>
      <c r="U203" s="399"/>
      <c r="V203" s="399">
        <v>786479.08877999999</v>
      </c>
      <c r="W203" s="399">
        <v>786479.08877999999</v>
      </c>
      <c r="X203" s="399">
        <v>614698.43192999996</v>
      </c>
      <c r="Y203" s="399">
        <v>0</v>
      </c>
      <c r="Z203" s="399">
        <v>71958.178910962364</v>
      </c>
      <c r="AA203" s="399">
        <v>0</v>
      </c>
      <c r="AB203" s="399">
        <v>0</v>
      </c>
      <c r="AC203" s="399">
        <v>0</v>
      </c>
      <c r="AD203" s="399">
        <v>127550.3126864036</v>
      </c>
      <c r="AE203" s="399">
        <v>385365.9715888417</v>
      </c>
      <c r="AF203" s="399">
        <v>167593.08682246288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11126.301748485557</v>
      </c>
      <c r="AM203" s="399"/>
      <c r="AN203" s="399">
        <v>1644.7143241342449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21233.794554099219</v>
      </c>
      <c r="BH203" s="399">
        <v>0</v>
      </c>
      <c r="BI203" s="399">
        <v>5258.39</v>
      </c>
      <c r="BJ203" s="399">
        <v>24380.34</v>
      </c>
      <c r="BK203" s="399">
        <v>186015.19</v>
      </c>
      <c r="BL203" s="399">
        <v>4910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188826.88137656209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614697.91360000009</v>
      </c>
      <c r="CJ203" s="399">
        <v>-171781.20517999993</v>
      </c>
      <c r="CK203" s="399"/>
      <c r="CL203" s="399"/>
      <c r="CM203" s="399"/>
      <c r="CN203" s="399"/>
      <c r="CO203" s="399">
        <v>-171780.65685000003</v>
      </c>
      <c r="CP203" s="399">
        <v>0</v>
      </c>
      <c r="CQ203" s="399">
        <v>31</v>
      </c>
      <c r="CR203" s="399">
        <v>-5284.1525048321928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-607.48427622945746</v>
      </c>
      <c r="DA203" s="399">
        <v>0</v>
      </c>
      <c r="DB203" s="399">
        <v>0</v>
      </c>
      <c r="DC203" s="399">
        <v>0</v>
      </c>
      <c r="DD203" s="399">
        <v>0</v>
      </c>
      <c r="DE203" s="399">
        <v>0</v>
      </c>
      <c r="DF203" s="399">
        <v>0</v>
      </c>
      <c r="DG203" s="399">
        <v>0</v>
      </c>
      <c r="DH203" s="399">
        <v>0</v>
      </c>
      <c r="DI203" s="399">
        <v>-4054.3872630624537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-555.9612980105303</v>
      </c>
      <c r="DP203" s="399">
        <v>-66.319667529840217</v>
      </c>
      <c r="DQ203" s="399">
        <v>0</v>
      </c>
      <c r="DR203" s="399">
        <v>0</v>
      </c>
      <c r="DS203" s="399"/>
      <c r="DT203" s="399"/>
      <c r="DU203" s="399"/>
      <c r="DV203" s="399">
        <v>385365.9715888417</v>
      </c>
      <c r="DW203" s="399">
        <v>0</v>
      </c>
      <c r="DX203" s="399">
        <v>0</v>
      </c>
      <c r="DY203" s="399">
        <v>-171780.65684999997</v>
      </c>
      <c r="DZ203" s="399">
        <v>0</v>
      </c>
      <c r="EA203" s="399">
        <v>0</v>
      </c>
      <c r="EB203" s="399">
        <v>0</v>
      </c>
      <c r="EC203" s="399">
        <v>-166485.56970746961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218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2360</v>
      </c>
      <c r="C204" s="399" t="s">
        <v>2328</v>
      </c>
      <c r="D204" s="399" t="s">
        <v>1823</v>
      </c>
      <c r="E204" s="399" t="s">
        <v>889</v>
      </c>
      <c r="F204" s="399" t="s">
        <v>889</v>
      </c>
      <c r="G204" s="399" t="s">
        <v>1239</v>
      </c>
      <c r="H204" s="399" t="s">
        <v>1239</v>
      </c>
      <c r="I204" s="399" t="s">
        <v>1239</v>
      </c>
      <c r="J204" s="399" t="s">
        <v>2329</v>
      </c>
      <c r="K204" s="789">
        <v>44562</v>
      </c>
      <c r="L204" s="399">
        <v>0</v>
      </c>
      <c r="M204" s="399">
        <v>0</v>
      </c>
      <c r="N204" s="399">
        <v>-1</v>
      </c>
      <c r="O204" s="399">
        <v>-1</v>
      </c>
      <c r="P204" s="399">
        <v>-1</v>
      </c>
      <c r="Q204" s="399">
        <v>-1</v>
      </c>
      <c r="R204" s="399"/>
      <c r="S204" s="399">
        <v>521.86</v>
      </c>
      <c r="T204" s="399">
        <v>141.32</v>
      </c>
      <c r="U204" s="399"/>
      <c r="V204" s="399">
        <v>-663.18000000000006</v>
      </c>
      <c r="W204" s="399">
        <v>-663.18000000000006</v>
      </c>
      <c r="X204" s="399">
        <v>-518.32999999999993</v>
      </c>
      <c r="Y204" s="399">
        <v>0</v>
      </c>
      <c r="Z204" s="399">
        <v>-60.677042493523899</v>
      </c>
      <c r="AA204" s="399">
        <v>0</v>
      </c>
      <c r="AB204" s="399">
        <v>0</v>
      </c>
      <c r="AC204" s="399">
        <v>0</v>
      </c>
      <c r="AD204" s="399">
        <v>-107.553802223254</v>
      </c>
      <c r="AE204" s="399">
        <v>-324.95079485804001</v>
      </c>
      <c r="AF204" s="399">
        <v>-141.31893003198601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-9.3819923489722807</v>
      </c>
      <c r="AM204" s="399"/>
      <c r="AN204" s="399">
        <v>-1.3868666834757499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-17.9048980109967</v>
      </c>
      <c r="BH204" s="399">
        <v>0</v>
      </c>
      <c r="BI204" s="399">
        <v>-4.45</v>
      </c>
      <c r="BJ204" s="399">
        <v>-20.57</v>
      </c>
      <c r="BK204" s="399">
        <v>-226.68</v>
      </c>
      <c r="BL204" s="399">
        <v>0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-159.22382804298272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-518.32999999999993</v>
      </c>
      <c r="CJ204" s="399">
        <v>144.82000000000016</v>
      </c>
      <c r="CK204" s="399"/>
      <c r="CL204" s="399"/>
      <c r="CM204" s="399"/>
      <c r="CN204" s="399"/>
      <c r="CO204" s="399">
        <v>144.85000000000002</v>
      </c>
      <c r="CP204" s="399">
        <v>0</v>
      </c>
      <c r="CQ204" s="399">
        <v>31</v>
      </c>
      <c r="CR204" s="399">
        <v>4.4557373592610929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0.51224683282399042</v>
      </c>
      <c r="DA204" s="399">
        <v>0</v>
      </c>
      <c r="DB204" s="399">
        <v>0</v>
      </c>
      <c r="DC204" s="399">
        <v>0</v>
      </c>
      <c r="DD204" s="399">
        <v>0</v>
      </c>
      <c r="DE204" s="399">
        <v>0</v>
      </c>
      <c r="DF204" s="399">
        <v>0</v>
      </c>
      <c r="DG204" s="399">
        <v>0</v>
      </c>
      <c r="DH204" s="399">
        <v>0</v>
      </c>
      <c r="DI204" s="399">
        <v>3.4187667332498961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0.46880129284373062</v>
      </c>
      <c r="DP204" s="399">
        <v>5.5922500343480008E-2</v>
      </c>
      <c r="DQ204" s="399">
        <v>0</v>
      </c>
      <c r="DR204" s="399">
        <v>0</v>
      </c>
      <c r="DS204" s="399"/>
      <c r="DT204" s="399"/>
      <c r="DU204" s="399"/>
      <c r="DV204" s="399">
        <v>-324.95079485804001</v>
      </c>
      <c r="DW204" s="399">
        <v>0</v>
      </c>
      <c r="DX204" s="399">
        <v>0</v>
      </c>
      <c r="DY204" s="399">
        <v>144.85000000000002</v>
      </c>
      <c r="DZ204" s="399">
        <v>0</v>
      </c>
      <c r="EA204" s="399">
        <v>0</v>
      </c>
      <c r="EB204" s="399">
        <v>0</v>
      </c>
      <c r="EC204" s="399">
        <v>140.38504226459401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218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2361</v>
      </c>
      <c r="C205" s="399" t="s">
        <v>2328</v>
      </c>
      <c r="D205" s="399" t="s">
        <v>1823</v>
      </c>
      <c r="E205" s="399" t="s">
        <v>889</v>
      </c>
      <c r="F205" s="399" t="s">
        <v>889</v>
      </c>
      <c r="G205" s="399" t="s">
        <v>1239</v>
      </c>
      <c r="H205" s="399" t="s">
        <v>1239</v>
      </c>
      <c r="I205" s="399" t="s">
        <v>1239</v>
      </c>
      <c r="J205" s="399" t="s">
        <v>2329</v>
      </c>
      <c r="K205" s="789">
        <v>44562</v>
      </c>
      <c r="L205" s="399">
        <v>0</v>
      </c>
      <c r="M205" s="399">
        <v>0</v>
      </c>
      <c r="N205" s="399">
        <v>15.298</v>
      </c>
      <c r="O205" s="399">
        <v>15.298</v>
      </c>
      <c r="P205" s="399">
        <v>15.298</v>
      </c>
      <c r="Q205" s="399">
        <v>15.298</v>
      </c>
      <c r="R205" s="399"/>
      <c r="S205" s="399">
        <v>521.86</v>
      </c>
      <c r="T205" s="399">
        <v>141.32</v>
      </c>
      <c r="U205" s="399"/>
      <c r="V205" s="399">
        <v>10145.32764</v>
      </c>
      <c r="W205" s="399">
        <v>10145.32764</v>
      </c>
      <c r="X205" s="399">
        <v>7929.4123400000008</v>
      </c>
      <c r="Y205" s="399">
        <v>0</v>
      </c>
      <c r="Z205" s="399">
        <v>928.23739606592858</v>
      </c>
      <c r="AA205" s="399">
        <v>0</v>
      </c>
      <c r="AB205" s="399">
        <v>0</v>
      </c>
      <c r="AC205" s="399">
        <v>0</v>
      </c>
      <c r="AD205" s="399">
        <v>1645.3580664113397</v>
      </c>
      <c r="AE205" s="399">
        <v>4971.0972597382961</v>
      </c>
      <c r="AF205" s="399">
        <v>2161.8969916293222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143.52571895457794</v>
      </c>
      <c r="AM205" s="399"/>
      <c r="AN205" s="399">
        <v>21.216286523812023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273.90912977222752</v>
      </c>
      <c r="BH205" s="399">
        <v>0</v>
      </c>
      <c r="BI205" s="399">
        <v>67.72</v>
      </c>
      <c r="BJ205" s="399">
        <v>314.42</v>
      </c>
      <c r="BK205" s="399">
        <v>9163.91</v>
      </c>
      <c r="BL205" s="399">
        <v>109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2435.8061214015497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7930.4489999999996</v>
      </c>
      <c r="CJ205" s="399">
        <v>-2214.9086400000006</v>
      </c>
      <c r="CK205" s="399"/>
      <c r="CL205" s="399"/>
      <c r="CM205" s="399"/>
      <c r="CN205" s="399"/>
      <c r="CO205" s="399">
        <v>-2215.9153000000006</v>
      </c>
      <c r="CP205" s="399">
        <v>0</v>
      </c>
      <c r="CQ205" s="399">
        <v>31</v>
      </c>
      <c r="CR205" s="399">
        <v>-68.163870121977197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-7.8363520485413574</v>
      </c>
      <c r="DA205" s="399">
        <v>0</v>
      </c>
      <c r="DB205" s="399">
        <v>0</v>
      </c>
      <c r="DC205" s="399">
        <v>0</v>
      </c>
      <c r="DD205" s="399">
        <v>0</v>
      </c>
      <c r="DE205" s="399">
        <v>0</v>
      </c>
      <c r="DF205" s="399">
        <v>0</v>
      </c>
      <c r="DG205" s="399">
        <v>0</v>
      </c>
      <c r="DH205" s="399">
        <v>0</v>
      </c>
      <c r="DI205" s="399">
        <v>-52.30029348525693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-7.1717221779233853</v>
      </c>
      <c r="DP205" s="399">
        <v>-0.85550241025455875</v>
      </c>
      <c r="DQ205" s="399">
        <v>0</v>
      </c>
      <c r="DR205" s="399">
        <v>0</v>
      </c>
      <c r="DS205" s="399"/>
      <c r="DT205" s="399"/>
      <c r="DU205" s="399"/>
      <c r="DV205" s="399">
        <v>4971.0972597382961</v>
      </c>
      <c r="DW205" s="399">
        <v>0</v>
      </c>
      <c r="DX205" s="399">
        <v>0</v>
      </c>
      <c r="DY205" s="399">
        <v>-2215.9152999999997</v>
      </c>
      <c r="DZ205" s="399">
        <v>0</v>
      </c>
      <c r="EA205" s="399">
        <v>0</v>
      </c>
      <c r="EB205" s="399">
        <v>0</v>
      </c>
      <c r="EC205" s="399">
        <v>-2147.610376563759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218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956</v>
      </c>
      <c r="C206" s="399" t="s">
        <v>2328</v>
      </c>
      <c r="D206" s="399" t="s">
        <v>1823</v>
      </c>
      <c r="E206" s="399" t="s">
        <v>889</v>
      </c>
      <c r="F206" s="399" t="s">
        <v>2330</v>
      </c>
      <c r="G206" s="399" t="s">
        <v>1239</v>
      </c>
      <c r="H206" s="399" t="s">
        <v>1239</v>
      </c>
      <c r="I206" s="399" t="s">
        <v>1239</v>
      </c>
      <c r="J206" s="399" t="s">
        <v>2329</v>
      </c>
      <c r="K206" s="789">
        <v>44562</v>
      </c>
      <c r="L206" s="399">
        <v>0</v>
      </c>
      <c r="M206" s="399">
        <v>0</v>
      </c>
      <c r="N206" s="399">
        <v>1.17</v>
      </c>
      <c r="O206" s="399">
        <v>1.17</v>
      </c>
      <c r="P206" s="399">
        <v>1.17</v>
      </c>
      <c r="Q206" s="399">
        <v>1.17</v>
      </c>
      <c r="R206" s="399"/>
      <c r="S206" s="399">
        <v>451.8</v>
      </c>
      <c r="T206" s="399">
        <v>141.32</v>
      </c>
      <c r="U206" s="399"/>
      <c r="V206" s="399">
        <v>693.95039999999995</v>
      </c>
      <c r="W206" s="399">
        <v>693.95039999999995</v>
      </c>
      <c r="X206" s="399">
        <v>529.02719999999988</v>
      </c>
      <c r="Y206" s="399">
        <v>0</v>
      </c>
      <c r="Z206" s="399">
        <v>0</v>
      </c>
      <c r="AA206" s="399">
        <v>0</v>
      </c>
      <c r="AB206" s="399">
        <v>0</v>
      </c>
      <c r="AC206" s="399">
        <v>0</v>
      </c>
      <c r="AD206" s="399">
        <v>125.83794860120717</v>
      </c>
      <c r="AE206" s="399">
        <v>380.19242998390678</v>
      </c>
      <c r="AF206" s="399">
        <v>165.34314813742364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0</v>
      </c>
      <c r="AM206" s="399"/>
      <c r="AN206" s="399">
        <v>1.6226340196666273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20.948730672866137</v>
      </c>
      <c r="BH206" s="399">
        <v>0</v>
      </c>
      <c r="BI206" s="399">
        <v>3.9</v>
      </c>
      <c r="BJ206" s="399">
        <v>18.72</v>
      </c>
      <c r="BK206" s="399">
        <v>28.08</v>
      </c>
      <c r="BL206" s="399">
        <v>1</v>
      </c>
      <c r="BM206" s="399"/>
      <c r="BN206" s="399"/>
      <c r="BO206" s="399"/>
      <c r="BP206" s="399"/>
      <c r="BQ206" s="399"/>
      <c r="BR206" s="399"/>
      <c r="BS206" s="399"/>
      <c r="BT206" s="399">
        <v>343.86299999999994</v>
      </c>
      <c r="BU206" s="399"/>
      <c r="BV206" s="399">
        <v>186.29187881028977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185.16419999999999</v>
      </c>
      <c r="CJ206" s="399">
        <v>-57.746099999999956</v>
      </c>
      <c r="CK206" s="399"/>
      <c r="CL206" s="399"/>
      <c r="CM206" s="399"/>
      <c r="CN206" s="399"/>
      <c r="CO206" s="399">
        <v>-164.92320000000004</v>
      </c>
      <c r="CP206" s="399">
        <v>0</v>
      </c>
      <c r="CQ206" s="399">
        <v>31</v>
      </c>
      <c r="CR206" s="399">
        <v>-0.66475811980592425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-0.59932879440407305</v>
      </c>
      <c r="DA206" s="399">
        <v>0</v>
      </c>
      <c r="DB206" s="399">
        <v>0</v>
      </c>
      <c r="DC206" s="399">
        <v>0</v>
      </c>
      <c r="DD206" s="399">
        <v>0</v>
      </c>
      <c r="DE206" s="399">
        <v>0</v>
      </c>
      <c r="DF206" s="399">
        <v>0</v>
      </c>
      <c r="DG206" s="399">
        <v>0</v>
      </c>
      <c r="DH206" s="399">
        <v>0</v>
      </c>
      <c r="DI206" s="399">
        <v>0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</v>
      </c>
      <c r="DP206" s="399">
        <v>-6.542932540187163E-2</v>
      </c>
      <c r="DQ206" s="399">
        <v>0</v>
      </c>
      <c r="DR206" s="399">
        <v>0</v>
      </c>
      <c r="DS206" s="399"/>
      <c r="DT206" s="399"/>
      <c r="DU206" s="399"/>
      <c r="DV206" s="399">
        <v>380.19242998390678</v>
      </c>
      <c r="DW206" s="399">
        <v>0</v>
      </c>
      <c r="DX206" s="399">
        <v>0</v>
      </c>
      <c r="DY206" s="399">
        <v>-164.92320000000007</v>
      </c>
      <c r="DZ206" s="399">
        <v>0</v>
      </c>
      <c r="EA206" s="399">
        <v>0</v>
      </c>
      <c r="EB206" s="399">
        <v>0</v>
      </c>
      <c r="EC206" s="399">
        <v>-164.25049944957496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218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956</v>
      </c>
      <c r="C207" s="399" t="s">
        <v>2328</v>
      </c>
      <c r="D207" s="399" t="s">
        <v>1823</v>
      </c>
      <c r="E207" s="399" t="s">
        <v>889</v>
      </c>
      <c r="F207" s="399" t="s">
        <v>2331</v>
      </c>
      <c r="G207" s="399" t="s">
        <v>1239</v>
      </c>
      <c r="H207" s="399" t="s">
        <v>1239</v>
      </c>
      <c r="I207" s="399" t="s">
        <v>1239</v>
      </c>
      <c r="J207" s="399" t="s">
        <v>2329</v>
      </c>
      <c r="K207" s="789">
        <v>44562</v>
      </c>
      <c r="L207" s="399">
        <v>0</v>
      </c>
      <c r="M207" s="399">
        <v>0</v>
      </c>
      <c r="N207" s="399">
        <v>2.5230000000000001</v>
      </c>
      <c r="O207" s="399">
        <v>2.5230000000000001</v>
      </c>
      <c r="P207" s="399">
        <v>2.5230000000000001</v>
      </c>
      <c r="Q207" s="399">
        <v>2.5230000000000001</v>
      </c>
      <c r="R207" s="399"/>
      <c r="S207" s="399">
        <v>451.8</v>
      </c>
      <c r="T207" s="399">
        <v>141.32</v>
      </c>
      <c r="U207" s="399"/>
      <c r="V207" s="399">
        <v>1496.4417599999999</v>
      </c>
      <c r="W207" s="399">
        <v>1496.4417599999999</v>
      </c>
      <c r="X207" s="399">
        <v>1140.7996800000001</v>
      </c>
      <c r="Y207" s="399">
        <v>0</v>
      </c>
      <c r="Z207" s="399">
        <v>0</v>
      </c>
      <c r="AA207" s="399">
        <v>0</v>
      </c>
      <c r="AB207" s="399">
        <v>0</v>
      </c>
      <c r="AC207" s="399">
        <v>0</v>
      </c>
      <c r="AD207" s="399">
        <v>271.35824300926987</v>
      </c>
      <c r="AE207" s="399">
        <v>819.85085542683498</v>
      </c>
      <c r="AF207" s="399">
        <v>356.54766047070075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0</v>
      </c>
      <c r="AM207" s="399"/>
      <c r="AN207" s="399">
        <v>3.4990646424093175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45.174057681744678</v>
      </c>
      <c r="BH207" s="399">
        <v>0</v>
      </c>
      <c r="BI207" s="399">
        <v>8.74</v>
      </c>
      <c r="BJ207" s="399">
        <v>41</v>
      </c>
      <c r="BK207" s="399">
        <v>100.19</v>
      </c>
      <c r="BL207" s="399">
        <v>5</v>
      </c>
      <c r="BM207" s="399"/>
      <c r="BN207" s="399"/>
      <c r="BO207" s="399"/>
      <c r="BP207" s="399"/>
      <c r="BQ207" s="399"/>
      <c r="BR207" s="399"/>
      <c r="BS207" s="399"/>
      <c r="BT207" s="399">
        <v>456.30977999999993</v>
      </c>
      <c r="BU207" s="399"/>
      <c r="BV207" s="399">
        <v>401.72171815244542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683.67600000000004</v>
      </c>
      <c r="CJ207" s="399">
        <v>-214.21401000000003</v>
      </c>
      <c r="CK207" s="399"/>
      <c r="CL207" s="399"/>
      <c r="CM207" s="399"/>
      <c r="CN207" s="399"/>
      <c r="CO207" s="399">
        <v>-355.64208000000013</v>
      </c>
      <c r="CP207" s="399">
        <v>0</v>
      </c>
      <c r="CQ207" s="399">
        <v>31</v>
      </c>
      <c r="CR207" s="399">
        <v>-1.4334912275816123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-1.2923987592149615</v>
      </c>
      <c r="DA207" s="399">
        <v>0</v>
      </c>
      <c r="DB207" s="399">
        <v>0</v>
      </c>
      <c r="DC207" s="399">
        <v>0</v>
      </c>
      <c r="DD207" s="399">
        <v>0</v>
      </c>
      <c r="DE207" s="399">
        <v>0</v>
      </c>
      <c r="DF207" s="399">
        <v>0</v>
      </c>
      <c r="DG207" s="399">
        <v>0</v>
      </c>
      <c r="DH207" s="399">
        <v>0</v>
      </c>
      <c r="DI207" s="399">
        <v>0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0</v>
      </c>
      <c r="DP207" s="399">
        <v>-0.14109246836660017</v>
      </c>
      <c r="DQ207" s="399">
        <v>0</v>
      </c>
      <c r="DR207" s="399">
        <v>0</v>
      </c>
      <c r="DS207" s="399"/>
      <c r="DT207" s="399"/>
      <c r="DU207" s="399"/>
      <c r="DV207" s="399">
        <v>819.85085542683498</v>
      </c>
      <c r="DW207" s="399">
        <v>0</v>
      </c>
      <c r="DX207" s="399">
        <v>0</v>
      </c>
      <c r="DY207" s="399">
        <v>-355.64207999999996</v>
      </c>
      <c r="DZ207" s="399">
        <v>0</v>
      </c>
      <c r="EA207" s="399">
        <v>0</v>
      </c>
      <c r="EB207" s="399">
        <v>0</v>
      </c>
      <c r="EC207" s="399">
        <v>-354.19146163357067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218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956</v>
      </c>
      <c r="C208" s="399" t="s">
        <v>2328</v>
      </c>
      <c r="D208" s="399" t="s">
        <v>1823</v>
      </c>
      <c r="E208" s="399" t="s">
        <v>889</v>
      </c>
      <c r="F208" s="399" t="s">
        <v>2332</v>
      </c>
      <c r="G208" s="399" t="s">
        <v>1239</v>
      </c>
      <c r="H208" s="399" t="s">
        <v>1239</v>
      </c>
      <c r="I208" s="399" t="s">
        <v>1239</v>
      </c>
      <c r="J208" s="399" t="s">
        <v>2329</v>
      </c>
      <c r="K208" s="789">
        <v>44562</v>
      </c>
      <c r="L208" s="399">
        <v>0</v>
      </c>
      <c r="M208" s="399">
        <v>0</v>
      </c>
      <c r="N208" s="399">
        <v>2.4950000000000001</v>
      </c>
      <c r="O208" s="399">
        <v>2.4950000000000001</v>
      </c>
      <c r="P208" s="399">
        <v>2.4950000000000001</v>
      </c>
      <c r="Q208" s="399">
        <v>2.4950000000000001</v>
      </c>
      <c r="R208" s="399"/>
      <c r="S208" s="399">
        <v>451.8</v>
      </c>
      <c r="T208" s="399">
        <v>141.32</v>
      </c>
      <c r="U208" s="399"/>
      <c r="V208" s="399">
        <v>1479.8344</v>
      </c>
      <c r="W208" s="399">
        <v>1479.8344</v>
      </c>
      <c r="X208" s="399">
        <v>1128.1392000000001</v>
      </c>
      <c r="Y208" s="399">
        <v>0</v>
      </c>
      <c r="Z208" s="399">
        <v>0</v>
      </c>
      <c r="AA208" s="399">
        <v>0</v>
      </c>
      <c r="AB208" s="399">
        <v>0</v>
      </c>
      <c r="AC208" s="399">
        <v>0</v>
      </c>
      <c r="AD208" s="399">
        <v>268.34673654701874</v>
      </c>
      <c r="AE208" s="399">
        <v>810.75223317080986</v>
      </c>
      <c r="AF208" s="399">
        <v>352.59073042980509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0</v>
      </c>
      <c r="AM208" s="399"/>
      <c r="AN208" s="399">
        <v>3.4602323752719961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44.672720537436767</v>
      </c>
      <c r="BH208" s="399">
        <v>0</v>
      </c>
      <c r="BI208" s="399">
        <v>8.69</v>
      </c>
      <c r="BJ208" s="399">
        <v>40.19</v>
      </c>
      <c r="BK208" s="399">
        <v>239.81</v>
      </c>
      <c r="BL208" s="399">
        <v>23</v>
      </c>
      <c r="BM208" s="399"/>
      <c r="BN208" s="399"/>
      <c r="BO208" s="399"/>
      <c r="BP208" s="399"/>
      <c r="BQ208" s="399"/>
      <c r="BR208" s="399"/>
      <c r="BS208" s="399"/>
      <c r="BT208" s="399">
        <v>112.79894999999995</v>
      </c>
      <c r="BU208" s="399"/>
      <c r="BV208" s="399">
        <v>397.26345096724185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1017.375</v>
      </c>
      <c r="CJ208" s="399">
        <v>-314.51095000000009</v>
      </c>
      <c r="CK208" s="399"/>
      <c r="CL208" s="399"/>
      <c r="CM208" s="399"/>
      <c r="CN208" s="399"/>
      <c r="CO208" s="399">
        <v>-351.69520000000011</v>
      </c>
      <c r="CP208" s="399">
        <v>0</v>
      </c>
      <c r="CQ208" s="399">
        <v>31</v>
      </c>
      <c r="CR208" s="399">
        <v>-1.4175824862528543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-1.278055847895871</v>
      </c>
      <c r="DA208" s="399">
        <v>0</v>
      </c>
      <c r="DB208" s="399">
        <v>0</v>
      </c>
      <c r="DC208" s="399">
        <v>0</v>
      </c>
      <c r="DD208" s="399">
        <v>0</v>
      </c>
      <c r="DE208" s="399">
        <v>0</v>
      </c>
      <c r="DF208" s="399">
        <v>0</v>
      </c>
      <c r="DG208" s="399">
        <v>0</v>
      </c>
      <c r="DH208" s="399">
        <v>0</v>
      </c>
      <c r="DI208" s="399">
        <v>0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0</v>
      </c>
      <c r="DP208" s="399">
        <v>-0.13952663835698242</v>
      </c>
      <c r="DQ208" s="399">
        <v>0</v>
      </c>
      <c r="DR208" s="399">
        <v>0</v>
      </c>
      <c r="DS208" s="399"/>
      <c r="DT208" s="399"/>
      <c r="DU208" s="399"/>
      <c r="DV208" s="399">
        <v>810.75223317080986</v>
      </c>
      <c r="DW208" s="399">
        <v>0</v>
      </c>
      <c r="DX208" s="399">
        <v>0</v>
      </c>
      <c r="DY208" s="399">
        <v>-351.6952</v>
      </c>
      <c r="DZ208" s="399">
        <v>0</v>
      </c>
      <c r="EA208" s="399">
        <v>0</v>
      </c>
      <c r="EB208" s="399">
        <v>0</v>
      </c>
      <c r="EC208" s="399">
        <v>-350.26068045016206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218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956</v>
      </c>
      <c r="C209" s="399" t="s">
        <v>2328</v>
      </c>
      <c r="D209" s="399" t="s">
        <v>1823</v>
      </c>
      <c r="E209" s="399" t="s">
        <v>889</v>
      </c>
      <c r="F209" s="399" t="s">
        <v>2333</v>
      </c>
      <c r="G209" s="399" t="s">
        <v>1239</v>
      </c>
      <c r="H209" s="399" t="s">
        <v>1239</v>
      </c>
      <c r="I209" s="399" t="s">
        <v>1239</v>
      </c>
      <c r="J209" s="399" t="s">
        <v>2329</v>
      </c>
      <c r="K209" s="789">
        <v>44562</v>
      </c>
      <c r="L209" s="399">
        <v>0</v>
      </c>
      <c r="M209" s="399">
        <v>0</v>
      </c>
      <c r="N209" s="399">
        <v>1.1020000000000001</v>
      </c>
      <c r="O209" s="399">
        <v>1.1020000000000001</v>
      </c>
      <c r="P209" s="399">
        <v>1.1020000000000001</v>
      </c>
      <c r="Q209" s="399">
        <v>1.1020000000000001</v>
      </c>
      <c r="R209" s="399"/>
      <c r="S209" s="399">
        <v>451.8</v>
      </c>
      <c r="T209" s="399">
        <v>141.32</v>
      </c>
      <c r="U209" s="399"/>
      <c r="V209" s="399">
        <v>653.61824000000001</v>
      </c>
      <c r="W209" s="399">
        <v>653.61824000000001</v>
      </c>
      <c r="X209" s="399">
        <v>498.28032000000002</v>
      </c>
      <c r="Y209" s="399">
        <v>0</v>
      </c>
      <c r="Z209" s="399">
        <v>0</v>
      </c>
      <c r="AA209" s="399">
        <v>0</v>
      </c>
      <c r="AB209" s="399">
        <v>0</v>
      </c>
      <c r="AC209" s="399">
        <v>0</v>
      </c>
      <c r="AD209" s="399">
        <v>118.52429005002591</v>
      </c>
      <c r="AE209" s="399">
        <v>358.09577593356011</v>
      </c>
      <c r="AF209" s="399">
        <v>155.73346089524861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0</v>
      </c>
      <c r="AM209" s="399"/>
      <c r="AN209" s="399">
        <v>1.5283270851902766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19.731197608118364</v>
      </c>
      <c r="BH209" s="399">
        <v>0</v>
      </c>
      <c r="BI209" s="399">
        <v>3.96</v>
      </c>
      <c r="BJ209" s="399">
        <v>17.71</v>
      </c>
      <c r="BK209" s="399">
        <v>173.27</v>
      </c>
      <c r="BL209" s="399">
        <v>10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175.46465850336699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497.37599999999998</v>
      </c>
      <c r="CJ209" s="399">
        <v>-156.27224000000001</v>
      </c>
      <c r="CK209" s="399"/>
      <c r="CL209" s="399"/>
      <c r="CM209" s="399"/>
      <c r="CN209" s="399"/>
      <c r="CO209" s="399">
        <v>-155.33792000000005</v>
      </c>
      <c r="CP209" s="399">
        <v>0</v>
      </c>
      <c r="CQ209" s="399">
        <v>31</v>
      </c>
      <c r="CR209" s="399">
        <v>-0.62612260515049911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-0.56449600977202863</v>
      </c>
      <c r="DA209" s="399">
        <v>0</v>
      </c>
      <c r="DB209" s="399">
        <v>0</v>
      </c>
      <c r="DC209" s="399">
        <v>0</v>
      </c>
      <c r="DD209" s="399">
        <v>0</v>
      </c>
      <c r="DE209" s="399">
        <v>0</v>
      </c>
      <c r="DF209" s="399">
        <v>0</v>
      </c>
      <c r="DG209" s="399">
        <v>0</v>
      </c>
      <c r="DH209" s="399">
        <v>0</v>
      </c>
      <c r="DI209" s="399">
        <v>0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0</v>
      </c>
      <c r="DP209" s="399">
        <v>-6.1626595378515114E-2</v>
      </c>
      <c r="DQ209" s="399">
        <v>0</v>
      </c>
      <c r="DR209" s="399">
        <v>0</v>
      </c>
      <c r="DS209" s="399"/>
      <c r="DT209" s="399"/>
      <c r="DU209" s="399"/>
      <c r="DV209" s="399">
        <v>358.09577593356011</v>
      </c>
      <c r="DW209" s="399">
        <v>0</v>
      </c>
      <c r="DX209" s="399">
        <v>0</v>
      </c>
      <c r="DY209" s="399">
        <v>-155.33792000000005</v>
      </c>
      <c r="DZ209" s="399">
        <v>0</v>
      </c>
      <c r="EA209" s="399">
        <v>0</v>
      </c>
      <c r="EB209" s="399">
        <v>0</v>
      </c>
      <c r="EC209" s="399">
        <v>-154.7043165755826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218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956</v>
      </c>
      <c r="C210" s="399" t="s">
        <v>2328</v>
      </c>
      <c r="D210" s="399" t="s">
        <v>1826</v>
      </c>
      <c r="E210" s="399" t="s">
        <v>890</v>
      </c>
      <c r="F210" s="399" t="s">
        <v>1239</v>
      </c>
      <c r="G210" s="399" t="s">
        <v>1239</v>
      </c>
      <c r="H210" s="399" t="s">
        <v>1239</v>
      </c>
      <c r="I210" s="399" t="s">
        <v>1239</v>
      </c>
      <c r="J210" s="399" t="s">
        <v>2329</v>
      </c>
      <c r="K210" s="789">
        <v>44562</v>
      </c>
      <c r="L210" s="399">
        <v>0</v>
      </c>
      <c r="M210" s="399">
        <v>0</v>
      </c>
      <c r="N210" s="399">
        <v>111.425</v>
      </c>
      <c r="O210" s="399">
        <v>111.425</v>
      </c>
      <c r="P210" s="399">
        <v>111.425</v>
      </c>
      <c r="Q210" s="399">
        <v>111.425</v>
      </c>
      <c r="R210" s="399"/>
      <c r="S210" s="399">
        <v>521.86</v>
      </c>
      <c r="T210" s="399">
        <v>141.32</v>
      </c>
      <c r="U210" s="399"/>
      <c r="V210" s="399">
        <v>73894.8315</v>
      </c>
      <c r="W210" s="399">
        <v>73894.8315</v>
      </c>
      <c r="X210" s="399">
        <v>57754.920249999996</v>
      </c>
      <c r="Y210" s="399">
        <v>0</v>
      </c>
      <c r="Z210" s="399">
        <v>6760.9394598408999</v>
      </c>
      <c r="AA210" s="399">
        <v>0</v>
      </c>
      <c r="AB210" s="399">
        <v>0</v>
      </c>
      <c r="AC210" s="399">
        <v>0</v>
      </c>
      <c r="AD210" s="399">
        <v>11984.182412726077</v>
      </c>
      <c r="AE210" s="399">
        <v>36207.642317057107</v>
      </c>
      <c r="AF210" s="399">
        <v>15746.46177881404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1045.3884974842363</v>
      </c>
      <c r="AM210" s="399"/>
      <c r="AN210" s="399">
        <v>154.53162020628542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1995.0532608753072</v>
      </c>
      <c r="BH210" s="399">
        <v>0</v>
      </c>
      <c r="BI210" s="399">
        <v>495.67</v>
      </c>
      <c r="BJ210" s="399">
        <v>2290.96</v>
      </c>
      <c r="BK210" s="399">
        <v>25354.639999999999</v>
      </c>
      <c r="BL210" s="399">
        <v>144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17741.515039689348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57757.511899999998</v>
      </c>
      <c r="CJ210" s="399">
        <v>-16137.349600000001</v>
      </c>
      <c r="CK210" s="399"/>
      <c r="CL210" s="399"/>
      <c r="CM210" s="399"/>
      <c r="CN210" s="399"/>
      <c r="CO210" s="399">
        <v>-16139.911250000003</v>
      </c>
      <c r="CP210" s="399">
        <v>0</v>
      </c>
      <c r="CQ210" s="399">
        <v>31</v>
      </c>
      <c r="CR210" s="399">
        <v>-496.48053525566502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-57.077103347413868</v>
      </c>
      <c r="DA210" s="399">
        <v>0</v>
      </c>
      <c r="DB210" s="399">
        <v>0</v>
      </c>
      <c r="DC210" s="399">
        <v>0</v>
      </c>
      <c r="DD210" s="399">
        <v>0</v>
      </c>
      <c r="DE210" s="399">
        <v>0</v>
      </c>
      <c r="DF210" s="399">
        <v>0</v>
      </c>
      <c r="DG210" s="399">
        <v>0</v>
      </c>
      <c r="DH210" s="399">
        <v>0</v>
      </c>
      <c r="DI210" s="399">
        <v>-380.93608325236892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-52.236184055112631</v>
      </c>
      <c r="DP210" s="399">
        <v>-6.2311646007722459</v>
      </c>
      <c r="DQ210" s="399">
        <v>0</v>
      </c>
      <c r="DR210" s="399">
        <v>0</v>
      </c>
      <c r="DS210" s="399"/>
      <c r="DT210" s="399"/>
      <c r="DU210" s="399"/>
      <c r="DV210" s="399">
        <v>36207.642317057107</v>
      </c>
      <c r="DW210" s="399">
        <v>0</v>
      </c>
      <c r="DX210" s="399">
        <v>0</v>
      </c>
      <c r="DY210" s="399">
        <v>-16139.911250000005</v>
      </c>
      <c r="DZ210" s="399">
        <v>0</v>
      </c>
      <c r="EA210" s="399">
        <v>0</v>
      </c>
      <c r="EB210" s="399">
        <v>0</v>
      </c>
      <c r="EC210" s="399">
        <v>-15642.403334332386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218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2361</v>
      </c>
      <c r="C211" s="399" t="s">
        <v>2328</v>
      </c>
      <c r="D211" s="399" t="s">
        <v>1826</v>
      </c>
      <c r="E211" s="399" t="s">
        <v>890</v>
      </c>
      <c r="F211" s="399" t="s">
        <v>1239</v>
      </c>
      <c r="G211" s="399" t="s">
        <v>1239</v>
      </c>
      <c r="H211" s="399" t="s">
        <v>1239</v>
      </c>
      <c r="I211" s="399" t="s">
        <v>1239</v>
      </c>
      <c r="J211" s="399" t="s">
        <v>2329</v>
      </c>
      <c r="K211" s="789">
        <v>44562</v>
      </c>
      <c r="L211" s="399">
        <v>0</v>
      </c>
      <c r="M211" s="399">
        <v>0</v>
      </c>
      <c r="N211" s="399">
        <v>8.7379999999999995</v>
      </c>
      <c r="O211" s="399">
        <v>8.7379999999999995</v>
      </c>
      <c r="P211" s="399">
        <v>8.7379999999999995</v>
      </c>
      <c r="Q211" s="399">
        <v>8.7379999999999995</v>
      </c>
      <c r="R211" s="399"/>
      <c r="S211" s="399">
        <v>521.86</v>
      </c>
      <c r="T211" s="399">
        <v>141.32</v>
      </c>
      <c r="U211" s="399"/>
      <c r="V211" s="399">
        <v>5794.8668399999997</v>
      </c>
      <c r="W211" s="399">
        <v>5794.8668399999997</v>
      </c>
      <c r="X211" s="399">
        <v>4529.1675399999995</v>
      </c>
      <c r="Y211" s="399">
        <v>0</v>
      </c>
      <c r="Z211" s="399">
        <v>530.19599730841185</v>
      </c>
      <c r="AA211" s="399">
        <v>0</v>
      </c>
      <c r="AB211" s="399">
        <v>0</v>
      </c>
      <c r="AC211" s="399">
        <v>0</v>
      </c>
      <c r="AD211" s="399">
        <v>939.80512382679342</v>
      </c>
      <c r="AE211" s="399">
        <v>2839.4200454695533</v>
      </c>
      <c r="AF211" s="399">
        <v>1234.8448106194937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81.97984914531979</v>
      </c>
      <c r="AM211" s="399"/>
      <c r="AN211" s="399">
        <v>12.118441080211102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156.45299882008916</v>
      </c>
      <c r="BH211" s="399">
        <v>0</v>
      </c>
      <c r="BI211" s="399">
        <v>38.869999999999997</v>
      </c>
      <c r="BJ211" s="399">
        <v>179.68</v>
      </c>
      <c r="BK211" s="399">
        <v>3635.94</v>
      </c>
      <c r="BL211" s="399">
        <v>10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1391.2978094395828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4530.2042000000001</v>
      </c>
      <c r="CJ211" s="399">
        <v>-1264.6926400000002</v>
      </c>
      <c r="CK211" s="399"/>
      <c r="CL211" s="399"/>
      <c r="CM211" s="399"/>
      <c r="CN211" s="399"/>
      <c r="CO211" s="399">
        <v>-1265.6993000000002</v>
      </c>
      <c r="CP211" s="399">
        <v>0</v>
      </c>
      <c r="CQ211" s="399">
        <v>31</v>
      </c>
      <c r="CR211" s="399">
        <v>-38.934233045223664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-4.4760128252161167</v>
      </c>
      <c r="DA211" s="399">
        <v>0</v>
      </c>
      <c r="DB211" s="399">
        <v>0</v>
      </c>
      <c r="DC211" s="399">
        <v>0</v>
      </c>
      <c r="DD211" s="399">
        <v>0</v>
      </c>
      <c r="DE211" s="399">
        <v>0</v>
      </c>
      <c r="DF211" s="399">
        <v>0</v>
      </c>
      <c r="DG211" s="399">
        <v>0</v>
      </c>
      <c r="DH211" s="399">
        <v>0</v>
      </c>
      <c r="DI211" s="399">
        <v>-29.873183715137657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-4.0963856968685235</v>
      </c>
      <c r="DP211" s="399">
        <v>-0.48865080800132787</v>
      </c>
      <c r="DQ211" s="399">
        <v>0</v>
      </c>
      <c r="DR211" s="399">
        <v>0</v>
      </c>
      <c r="DS211" s="399"/>
      <c r="DT211" s="399"/>
      <c r="DU211" s="399"/>
      <c r="DV211" s="399">
        <v>2839.4200454695533</v>
      </c>
      <c r="DW211" s="399">
        <v>0</v>
      </c>
      <c r="DX211" s="399">
        <v>0</v>
      </c>
      <c r="DY211" s="399">
        <v>-1265.6993000000002</v>
      </c>
      <c r="DZ211" s="399">
        <v>0</v>
      </c>
      <c r="EA211" s="399">
        <v>0</v>
      </c>
      <c r="EB211" s="399">
        <v>0</v>
      </c>
      <c r="EC211" s="399">
        <v>-1226.6844993080222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218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956</v>
      </c>
      <c r="C212" s="399" t="s">
        <v>2334</v>
      </c>
      <c r="D212" s="399" t="s">
        <v>533</v>
      </c>
      <c r="E212" s="399" t="s">
        <v>890</v>
      </c>
      <c r="F212" s="399" t="s">
        <v>1239</v>
      </c>
      <c r="G212" s="399" t="s">
        <v>1239</v>
      </c>
      <c r="H212" s="399" t="s">
        <v>1239</v>
      </c>
      <c r="I212" s="399" t="s">
        <v>893</v>
      </c>
      <c r="J212" s="399" t="s">
        <v>2329</v>
      </c>
      <c r="K212" s="789">
        <v>44562</v>
      </c>
      <c r="L212" s="399">
        <v>0</v>
      </c>
      <c r="M212" s="399">
        <v>0</v>
      </c>
      <c r="N212" s="399">
        <v>68.721000000000004</v>
      </c>
      <c r="O212" s="399">
        <v>68.721000000000004</v>
      </c>
      <c r="P212" s="399">
        <v>68.721000000000004</v>
      </c>
      <c r="Q212" s="399">
        <v>68.721000000000004</v>
      </c>
      <c r="R212" s="399"/>
      <c r="S212" s="399">
        <v>2741.05</v>
      </c>
      <c r="T212" s="399">
        <v>141.32</v>
      </c>
      <c r="U212" s="399"/>
      <c r="V212" s="399">
        <v>198079.34877000001</v>
      </c>
      <c r="W212" s="399">
        <v>198079.34877000001</v>
      </c>
      <c r="X212" s="399">
        <v>141831.89747999999</v>
      </c>
      <c r="Y212" s="399">
        <v>0</v>
      </c>
      <c r="Z212" s="399">
        <v>3627.7147223617872</v>
      </c>
      <c r="AA212" s="399">
        <v>0</v>
      </c>
      <c r="AB212" s="399">
        <v>0</v>
      </c>
      <c r="AC212" s="399">
        <v>0</v>
      </c>
      <c r="AD212" s="399">
        <v>54534.338407156247</v>
      </c>
      <c r="AE212" s="399">
        <v>129044.89417979258</v>
      </c>
      <c r="AF212" s="399">
        <v>9711.5781907281107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644.73989621372414</v>
      </c>
      <c r="AM212" s="399"/>
      <c r="AN212" s="399">
        <v>41.283619324824343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475.06541591473473</v>
      </c>
      <c r="BH212" s="399">
        <v>0</v>
      </c>
      <c r="BI212" s="399">
        <v>0</v>
      </c>
      <c r="BJ212" s="399">
        <v>0</v>
      </c>
      <c r="BK212" s="399">
        <v>0</v>
      </c>
      <c r="BL212" s="399">
        <v>0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10186.643606642845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141829.83359999998</v>
      </c>
      <c r="CJ212" s="399">
        <v>-56249.545170000056</v>
      </c>
      <c r="CK212" s="399"/>
      <c r="CL212" s="399"/>
      <c r="CM212" s="399"/>
      <c r="CN212" s="399"/>
      <c r="CO212" s="399">
        <v>-56247.451290000019</v>
      </c>
      <c r="CP212" s="399">
        <v>0</v>
      </c>
      <c r="CQ212" s="399">
        <v>31</v>
      </c>
      <c r="CR212" s="399">
        <v>-498.01076446316438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-259.73086540676013</v>
      </c>
      <c r="DA212" s="399">
        <v>0</v>
      </c>
      <c r="DB212" s="399">
        <v>0</v>
      </c>
      <c r="DC212" s="399">
        <v>0</v>
      </c>
      <c r="DD212" s="399">
        <v>0</v>
      </c>
      <c r="DE212" s="399">
        <v>0</v>
      </c>
      <c r="DF212" s="399">
        <v>0</v>
      </c>
      <c r="DG212" s="399">
        <v>0</v>
      </c>
      <c r="DH212" s="399">
        <v>0</v>
      </c>
      <c r="DI212" s="399">
        <v>-204.39872974783566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-32.216493645513992</v>
      </c>
      <c r="DP212" s="399">
        <v>-1.6646756630470421</v>
      </c>
      <c r="DQ212" s="399">
        <v>0</v>
      </c>
      <c r="DR212" s="399">
        <v>0</v>
      </c>
      <c r="DS212" s="399"/>
      <c r="DT212" s="399"/>
      <c r="DU212" s="399"/>
      <c r="DV212" s="399">
        <v>129044.89417979258</v>
      </c>
      <c r="DW212" s="399">
        <v>0</v>
      </c>
      <c r="DX212" s="399">
        <v>0</v>
      </c>
      <c r="DY212" s="399">
        <v>-56247.451290000026</v>
      </c>
      <c r="DZ212" s="399">
        <v>0</v>
      </c>
      <c r="EA212" s="399">
        <v>0</v>
      </c>
      <c r="EB212" s="399">
        <v>0</v>
      </c>
      <c r="EC212" s="399">
        <v>-55749.895707670366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218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2361</v>
      </c>
      <c r="C213" s="399" t="s">
        <v>2334</v>
      </c>
      <c r="D213" s="399" t="s">
        <v>533</v>
      </c>
      <c r="E213" s="399" t="s">
        <v>890</v>
      </c>
      <c r="F213" s="399" t="s">
        <v>1239</v>
      </c>
      <c r="G213" s="399" t="s">
        <v>1239</v>
      </c>
      <c r="H213" s="399" t="s">
        <v>1239</v>
      </c>
      <c r="I213" s="399" t="s">
        <v>893</v>
      </c>
      <c r="J213" s="399" t="s">
        <v>2329</v>
      </c>
      <c r="K213" s="789">
        <v>44562</v>
      </c>
      <c r="L213" s="399">
        <v>0</v>
      </c>
      <c r="M213" s="399">
        <v>0</v>
      </c>
      <c r="N213" s="399">
        <v>0.183</v>
      </c>
      <c r="O213" s="399">
        <v>0.183</v>
      </c>
      <c r="P213" s="399">
        <v>0.183</v>
      </c>
      <c r="Q213" s="399">
        <v>0.183</v>
      </c>
      <c r="R213" s="399"/>
      <c r="S213" s="399">
        <v>2741.05</v>
      </c>
      <c r="T213" s="399">
        <v>141.32</v>
      </c>
      <c r="U213" s="399"/>
      <c r="V213" s="399">
        <v>527.47370999999998</v>
      </c>
      <c r="W213" s="399">
        <v>527.47370999999998</v>
      </c>
      <c r="X213" s="399">
        <v>377.69003999999995</v>
      </c>
      <c r="Y213" s="399">
        <v>0</v>
      </c>
      <c r="Z213" s="399">
        <v>9.6603919353939407</v>
      </c>
      <c r="AA213" s="399">
        <v>0</v>
      </c>
      <c r="AB213" s="399">
        <v>0</v>
      </c>
      <c r="AC213" s="399">
        <v>0</v>
      </c>
      <c r="AD213" s="399">
        <v>145.22175068042654</v>
      </c>
      <c r="AE213" s="399">
        <v>343.63899877624073</v>
      </c>
      <c r="AF213" s="399">
        <v>25.86136419585344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1.7169045998619272</v>
      </c>
      <c r="AM213" s="399"/>
      <c r="AN213" s="399">
        <v>0.109935861475282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1.2650713917491951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27.126435587602636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371.49839999999995</v>
      </c>
      <c r="CJ213" s="399">
        <v>-156.00531000000001</v>
      </c>
      <c r="CK213" s="399"/>
      <c r="CL213" s="399"/>
      <c r="CM213" s="399"/>
      <c r="CN213" s="399"/>
      <c r="CO213" s="399">
        <v>-149.78367000000003</v>
      </c>
      <c r="CP213" s="399">
        <v>0</v>
      </c>
      <c r="CQ213" s="399">
        <v>31</v>
      </c>
      <c r="CR213" s="399">
        <v>-1.3261735116886655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-0.69164808965871316</v>
      </c>
      <c r="DA213" s="399">
        <v>0</v>
      </c>
      <c r="DB213" s="399">
        <v>0</v>
      </c>
      <c r="DC213" s="399">
        <v>0</v>
      </c>
      <c r="DD213" s="399">
        <v>0</v>
      </c>
      <c r="DE213" s="399">
        <v>0</v>
      </c>
      <c r="DF213" s="399">
        <v>0</v>
      </c>
      <c r="DG213" s="399">
        <v>0</v>
      </c>
      <c r="DH213" s="399">
        <v>0</v>
      </c>
      <c r="DI213" s="399">
        <v>-0.54430185160073208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-8.5790636590402647E-2</v>
      </c>
      <c r="DP213" s="399">
        <v>-4.4329338388208739E-3</v>
      </c>
      <c r="DQ213" s="399">
        <v>0</v>
      </c>
      <c r="DR213" s="399">
        <v>0</v>
      </c>
      <c r="DS213" s="399"/>
      <c r="DT213" s="399"/>
      <c r="DU213" s="399"/>
      <c r="DV213" s="399">
        <v>343.63899877624073</v>
      </c>
      <c r="DW213" s="399">
        <v>0</v>
      </c>
      <c r="DX213" s="399">
        <v>0</v>
      </c>
      <c r="DY213" s="399">
        <v>-149.78367000000009</v>
      </c>
      <c r="DZ213" s="399">
        <v>0</v>
      </c>
      <c r="EA213" s="399">
        <v>0</v>
      </c>
      <c r="EB213" s="399">
        <v>0</v>
      </c>
      <c r="EC213" s="399">
        <v>-148.45870861168601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218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956</v>
      </c>
      <c r="C214" s="399" t="s">
        <v>2334</v>
      </c>
      <c r="D214" s="399" t="s">
        <v>533</v>
      </c>
      <c r="E214" s="399" t="s">
        <v>890</v>
      </c>
      <c r="F214" s="399" t="s">
        <v>1239</v>
      </c>
      <c r="G214" s="399" t="s">
        <v>1239</v>
      </c>
      <c r="H214" s="399" t="s">
        <v>1239</v>
      </c>
      <c r="I214" s="399" t="s">
        <v>2326</v>
      </c>
      <c r="J214" s="399" t="s">
        <v>2329</v>
      </c>
      <c r="K214" s="789">
        <v>44562</v>
      </c>
      <c r="L214" s="399">
        <v>0</v>
      </c>
      <c r="M214" s="399">
        <v>0</v>
      </c>
      <c r="N214" s="399">
        <v>2135.4859999999999</v>
      </c>
      <c r="O214" s="399">
        <v>2135.4859999999999</v>
      </c>
      <c r="P214" s="399">
        <v>2135.4859999999999</v>
      </c>
      <c r="Q214" s="399">
        <v>2135.4859999999999</v>
      </c>
      <c r="R214" s="399"/>
      <c r="S214" s="399">
        <v>69.680000000000007</v>
      </c>
      <c r="T214" s="399">
        <v>141.32</v>
      </c>
      <c r="U214" s="399"/>
      <c r="V214" s="399">
        <v>450587.54599999997</v>
      </c>
      <c r="W214" s="399">
        <v>450587.54599999997</v>
      </c>
      <c r="X214" s="399">
        <v>443198.76444</v>
      </c>
      <c r="Y214" s="399">
        <v>0</v>
      </c>
      <c r="Z214" s="399">
        <v>112730.22804670309</v>
      </c>
      <c r="AA214" s="399">
        <v>0</v>
      </c>
      <c r="AB214" s="399">
        <v>0</v>
      </c>
      <c r="AC214" s="399">
        <v>0</v>
      </c>
      <c r="AD214" s="399">
        <v>0</v>
      </c>
      <c r="AE214" s="399">
        <v>0</v>
      </c>
      <c r="AF214" s="399">
        <v>301784.59661828569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20035.113313337421</v>
      </c>
      <c r="AM214" s="399"/>
      <c r="AN214" s="399">
        <v>1282.8770113573992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14762.525934868425</v>
      </c>
      <c r="BH214" s="399">
        <v>0</v>
      </c>
      <c r="BI214" s="399">
        <v>0</v>
      </c>
      <c r="BJ214" s="399">
        <v>0</v>
      </c>
      <c r="BK214" s="399">
        <v>0</v>
      </c>
      <c r="BL214" s="399">
        <v>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316547.12255315413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443199.59459999995</v>
      </c>
      <c r="CJ214" s="399">
        <v>-7387.9814000000479</v>
      </c>
      <c r="CK214" s="399"/>
      <c r="CL214" s="399"/>
      <c r="CM214" s="399"/>
      <c r="CN214" s="399"/>
      <c r="CO214" s="399">
        <v>-7388.7815600000167</v>
      </c>
      <c r="CP214" s="399">
        <v>0</v>
      </c>
      <c r="CQ214" s="399">
        <v>31</v>
      </c>
      <c r="CR214" s="399">
        <v>-7404.4817234374932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0</v>
      </c>
      <c r="DA214" s="399">
        <v>0</v>
      </c>
      <c r="DB214" s="399">
        <v>0</v>
      </c>
      <c r="DC214" s="399">
        <v>0</v>
      </c>
      <c r="DD214" s="399">
        <v>0</v>
      </c>
      <c r="DE214" s="399">
        <v>0</v>
      </c>
      <c r="DF214" s="399">
        <v>0</v>
      </c>
      <c r="DG214" s="399">
        <v>0</v>
      </c>
      <c r="DH214" s="399">
        <v>0</v>
      </c>
      <c r="DI214" s="399">
        <v>-6351.6337916253833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-1001.118597649689</v>
      </c>
      <c r="DP214" s="399">
        <v>-51.729334162449277</v>
      </c>
      <c r="DQ214" s="399">
        <v>0</v>
      </c>
      <c r="DR214" s="399">
        <v>0</v>
      </c>
      <c r="DS214" s="399"/>
      <c r="DT214" s="399"/>
      <c r="DU214" s="399"/>
      <c r="DV214" s="399">
        <v>0</v>
      </c>
      <c r="DW214" s="399">
        <v>0</v>
      </c>
      <c r="DX214" s="399">
        <v>0</v>
      </c>
      <c r="DY214" s="399">
        <v>-7388.7815600000031</v>
      </c>
      <c r="DZ214" s="399">
        <v>0</v>
      </c>
      <c r="EA214" s="399">
        <v>0</v>
      </c>
      <c r="EB214" s="399">
        <v>0</v>
      </c>
      <c r="EC214" s="399">
        <v>0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218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2361</v>
      </c>
      <c r="C215" s="399" t="s">
        <v>2334</v>
      </c>
      <c r="D215" s="399" t="s">
        <v>533</v>
      </c>
      <c r="E215" s="399" t="s">
        <v>890</v>
      </c>
      <c r="F215" s="399" t="s">
        <v>1239</v>
      </c>
      <c r="G215" s="399" t="s">
        <v>1239</v>
      </c>
      <c r="H215" s="399" t="s">
        <v>1239</v>
      </c>
      <c r="I215" s="399" t="s">
        <v>2326</v>
      </c>
      <c r="J215" s="399" t="s">
        <v>2329</v>
      </c>
      <c r="K215" s="789">
        <v>44562</v>
      </c>
      <c r="L215" s="399">
        <v>0</v>
      </c>
      <c r="M215" s="399">
        <v>0</v>
      </c>
      <c r="N215" s="399">
        <v>9.3309999999999995</v>
      </c>
      <c r="O215" s="399">
        <v>9.3309999999999995</v>
      </c>
      <c r="P215" s="399">
        <v>9.3309999999999995</v>
      </c>
      <c r="Q215" s="399">
        <v>9.3309999999999995</v>
      </c>
      <c r="R215" s="399"/>
      <c r="S215" s="399">
        <v>69.680000000000007</v>
      </c>
      <c r="T215" s="399">
        <v>141.32</v>
      </c>
      <c r="U215" s="399"/>
      <c r="V215" s="399">
        <v>1968.8409999999999</v>
      </c>
      <c r="W215" s="399">
        <v>1968.8409999999999</v>
      </c>
      <c r="X215" s="399">
        <v>1936.5557399999998</v>
      </c>
      <c r="Y215" s="399">
        <v>0</v>
      </c>
      <c r="Z215" s="399">
        <v>492.57441065115228</v>
      </c>
      <c r="AA215" s="399">
        <v>0</v>
      </c>
      <c r="AB215" s="399">
        <v>0</v>
      </c>
      <c r="AC215" s="399">
        <v>0</v>
      </c>
      <c r="AD215" s="399">
        <v>0</v>
      </c>
      <c r="AE215" s="399">
        <v>0</v>
      </c>
      <c r="AF215" s="399">
        <v>1318.6469361284614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87.543370608260346</v>
      </c>
      <c r="AM215" s="399"/>
      <c r="AN215" s="399">
        <v>5.6055274504145158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64.504815062359242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1383.1517511908207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1936.3481999999999</v>
      </c>
      <c r="CJ215" s="399">
        <v>-32.522799999999961</v>
      </c>
      <c r="CK215" s="399"/>
      <c r="CL215" s="399"/>
      <c r="CM215" s="399"/>
      <c r="CN215" s="399"/>
      <c r="CO215" s="399">
        <v>-32.285260000000072</v>
      </c>
      <c r="CP215" s="399">
        <v>0</v>
      </c>
      <c r="CQ215" s="399">
        <v>31</v>
      </c>
      <c r="CR215" s="399">
        <v>-32.353861819461827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</v>
      </c>
      <c r="DA215" s="399">
        <v>0</v>
      </c>
      <c r="DB215" s="399">
        <v>0</v>
      </c>
      <c r="DC215" s="399">
        <v>0</v>
      </c>
      <c r="DD215" s="399">
        <v>0</v>
      </c>
      <c r="DE215" s="399">
        <v>0</v>
      </c>
      <c r="DF215" s="399">
        <v>0</v>
      </c>
      <c r="DG215" s="399">
        <v>0</v>
      </c>
      <c r="DH215" s="399">
        <v>0</v>
      </c>
      <c r="DI215" s="399">
        <v>-27.753445777521563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-4.3743848635248526</v>
      </c>
      <c r="DP215" s="399">
        <v>-0.22603117841550624</v>
      </c>
      <c r="DQ215" s="399">
        <v>0</v>
      </c>
      <c r="DR215" s="399">
        <v>0</v>
      </c>
      <c r="DS215" s="399"/>
      <c r="DT215" s="399"/>
      <c r="DU215" s="399"/>
      <c r="DV215" s="399">
        <v>0</v>
      </c>
      <c r="DW215" s="399">
        <v>0</v>
      </c>
      <c r="DX215" s="399">
        <v>0</v>
      </c>
      <c r="DY215" s="399">
        <v>-32.285259999999994</v>
      </c>
      <c r="DZ215" s="399">
        <v>0</v>
      </c>
      <c r="EA215" s="399">
        <v>0</v>
      </c>
      <c r="EB215" s="399">
        <v>0</v>
      </c>
      <c r="EC215" s="399">
        <v>0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218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956</v>
      </c>
      <c r="C216" s="399" t="s">
        <v>2334</v>
      </c>
      <c r="D216" s="399" t="s">
        <v>533</v>
      </c>
      <c r="E216" s="399" t="s">
        <v>890</v>
      </c>
      <c r="F216" s="399" t="s">
        <v>1239</v>
      </c>
      <c r="G216" s="399" t="s">
        <v>1239</v>
      </c>
      <c r="H216" s="399" t="s">
        <v>1239</v>
      </c>
      <c r="I216" s="399" t="s">
        <v>1239</v>
      </c>
      <c r="J216" s="399" t="s">
        <v>2329</v>
      </c>
      <c r="K216" s="789">
        <v>44562</v>
      </c>
      <c r="L216" s="399">
        <v>10715</v>
      </c>
      <c r="M216" s="399">
        <v>10715</v>
      </c>
      <c r="N216" s="399">
        <v>0</v>
      </c>
      <c r="O216" s="399">
        <v>0</v>
      </c>
      <c r="P216" s="399">
        <v>0</v>
      </c>
      <c r="Q216" s="399">
        <v>0</v>
      </c>
      <c r="R216" s="399">
        <v>35.15</v>
      </c>
      <c r="S216" s="399"/>
      <c r="T216" s="399"/>
      <c r="U216" s="399">
        <v>376632.25</v>
      </c>
      <c r="V216" s="399"/>
      <c r="W216" s="399">
        <v>376632.25</v>
      </c>
      <c r="X216" s="399">
        <v>274946.90000000002</v>
      </c>
      <c r="Y216" s="399">
        <v>0</v>
      </c>
      <c r="Z216" s="399">
        <v>0</v>
      </c>
      <c r="AA216" s="399">
        <v>0</v>
      </c>
      <c r="AB216" s="399">
        <v>0</v>
      </c>
      <c r="AC216" s="399">
        <v>0</v>
      </c>
      <c r="AD216" s="399">
        <v>142845.6648294043</v>
      </c>
      <c r="AE216" s="399">
        <v>233779.62592605056</v>
      </c>
      <c r="AF216" s="399"/>
      <c r="AG216" s="399"/>
      <c r="AH216" s="399"/>
      <c r="AI216" s="399">
        <v>0</v>
      </c>
      <c r="AJ216" s="399">
        <v>0</v>
      </c>
      <c r="AK216" s="399">
        <v>0</v>
      </c>
      <c r="AL216" s="399">
        <v>0</v>
      </c>
      <c r="AM216" s="399"/>
      <c r="AN216" s="399">
        <v>0</v>
      </c>
      <c r="AO216" s="399">
        <v>0</v>
      </c>
      <c r="AP216" s="399">
        <v>0</v>
      </c>
      <c r="AQ216" s="399">
        <v>0</v>
      </c>
      <c r="AR216" s="399">
        <v>0</v>
      </c>
      <c r="AS216" s="399"/>
      <c r="AT216" s="399"/>
      <c r="AU216" s="399">
        <v>0</v>
      </c>
      <c r="AV216" s="399">
        <v>0</v>
      </c>
      <c r="AW216" s="399">
        <v>0</v>
      </c>
      <c r="AX216" s="399"/>
      <c r="AY216" s="399"/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/>
      <c r="BG216" s="399">
        <v>0</v>
      </c>
      <c r="BH216" s="399">
        <v>0</v>
      </c>
      <c r="BI216" s="399">
        <v>7970.15</v>
      </c>
      <c r="BJ216" s="399">
        <v>36785.919999999998</v>
      </c>
      <c r="BK216" s="399">
        <v>400254.69</v>
      </c>
      <c r="BL216" s="399">
        <v>31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0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274946.90000000002</v>
      </c>
      <c r="CJ216" s="399">
        <v>-101685.38</v>
      </c>
      <c r="CK216" s="399"/>
      <c r="CL216" s="399"/>
      <c r="CM216" s="399"/>
      <c r="CN216" s="399"/>
      <c r="CO216" s="399">
        <v>-101685.34999999998</v>
      </c>
      <c r="CP216" s="399">
        <v>0</v>
      </c>
      <c r="CQ216" s="399">
        <v>31</v>
      </c>
      <c r="CR216" s="399">
        <v>-680.33149808648159</v>
      </c>
      <c r="CS216" s="399">
        <v>0</v>
      </c>
      <c r="CT216" s="399">
        <v>0</v>
      </c>
      <c r="CU216" s="399">
        <v>0</v>
      </c>
      <c r="CV216" s="399">
        <v>0</v>
      </c>
      <c r="CW216" s="399"/>
      <c r="CX216" s="399"/>
      <c r="CY216" s="399"/>
      <c r="CZ216" s="399">
        <v>-680.33149808648159</v>
      </c>
      <c r="DA216" s="399">
        <v>0</v>
      </c>
      <c r="DB216" s="399">
        <v>0</v>
      </c>
      <c r="DC216" s="399"/>
      <c r="DD216" s="399"/>
      <c r="DE216" s="399">
        <v>0</v>
      </c>
      <c r="DF216" s="399">
        <v>0</v>
      </c>
      <c r="DG216" s="399">
        <v>0</v>
      </c>
      <c r="DH216" s="399">
        <v>0</v>
      </c>
      <c r="DI216" s="399">
        <v>0</v>
      </c>
      <c r="DJ216" s="399"/>
      <c r="DK216" s="399">
        <v>0</v>
      </c>
      <c r="DL216" s="399">
        <v>0</v>
      </c>
      <c r="DM216" s="399"/>
      <c r="DN216" s="399">
        <v>0</v>
      </c>
      <c r="DO216" s="399">
        <v>0</v>
      </c>
      <c r="DP216" s="399">
        <v>0</v>
      </c>
      <c r="DQ216" s="399">
        <v>0</v>
      </c>
      <c r="DR216" s="399">
        <v>0</v>
      </c>
      <c r="DS216" s="399"/>
      <c r="DT216" s="399"/>
      <c r="DU216" s="399">
        <v>233779.62592605056</v>
      </c>
      <c r="DV216" s="399"/>
      <c r="DW216" s="399">
        <v>0</v>
      </c>
      <c r="DX216" s="399">
        <v>0</v>
      </c>
      <c r="DY216" s="399">
        <v>-101685.34999999998</v>
      </c>
      <c r="DZ216" s="399"/>
      <c r="EA216" s="399">
        <v>0</v>
      </c>
      <c r="EB216" s="399"/>
      <c r="EC216" s="399">
        <v>-100997.33001289389</v>
      </c>
      <c r="ED216" s="399"/>
      <c r="EE216" s="399">
        <v>0</v>
      </c>
      <c r="EF216" s="399">
        <v>0</v>
      </c>
      <c r="EG216" s="399"/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/>
      <c r="EN216" s="399"/>
      <c r="EO216" s="399">
        <v>0</v>
      </c>
      <c r="EP216" s="399">
        <v>0</v>
      </c>
      <c r="EQ216" s="399"/>
      <c r="ER216" s="399">
        <v>0</v>
      </c>
      <c r="ES216" s="399"/>
      <c r="ET216" s="399">
        <v>0</v>
      </c>
      <c r="EU216" s="399"/>
      <c r="EV216" s="399">
        <v>218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2361</v>
      </c>
      <c r="C217" s="399" t="s">
        <v>2334</v>
      </c>
      <c r="D217" s="399" t="s">
        <v>533</v>
      </c>
      <c r="E217" s="399" t="s">
        <v>890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2329</v>
      </c>
      <c r="K217" s="789">
        <v>44562</v>
      </c>
      <c r="L217" s="399">
        <v>440</v>
      </c>
      <c r="M217" s="399">
        <v>440</v>
      </c>
      <c r="N217" s="399">
        <v>0</v>
      </c>
      <c r="O217" s="399">
        <v>0</v>
      </c>
      <c r="P217" s="399">
        <v>0</v>
      </c>
      <c r="Q217" s="399">
        <v>0</v>
      </c>
      <c r="R217" s="399">
        <v>35.15</v>
      </c>
      <c r="S217" s="399"/>
      <c r="T217" s="399"/>
      <c r="U217" s="399">
        <v>15466</v>
      </c>
      <c r="V217" s="399"/>
      <c r="W217" s="399">
        <v>15466</v>
      </c>
      <c r="X217" s="399">
        <v>11290.4</v>
      </c>
      <c r="Y217" s="399">
        <v>0</v>
      </c>
      <c r="Z217" s="399">
        <v>0</v>
      </c>
      <c r="AA217" s="399">
        <v>0</v>
      </c>
      <c r="AB217" s="399">
        <v>0</v>
      </c>
      <c r="AC217" s="399">
        <v>0</v>
      </c>
      <c r="AD217" s="399">
        <v>5865.804248710956</v>
      </c>
      <c r="AE217" s="399">
        <v>9599.9099773646521</v>
      </c>
      <c r="AF217" s="399"/>
      <c r="AG217" s="399"/>
      <c r="AH217" s="399"/>
      <c r="AI217" s="399">
        <v>0</v>
      </c>
      <c r="AJ217" s="399">
        <v>0</v>
      </c>
      <c r="AK217" s="399">
        <v>0</v>
      </c>
      <c r="AL217" s="399">
        <v>0</v>
      </c>
      <c r="AM217" s="399"/>
      <c r="AN217" s="399">
        <v>0</v>
      </c>
      <c r="AO217" s="399">
        <v>0</v>
      </c>
      <c r="AP217" s="399">
        <v>0</v>
      </c>
      <c r="AQ217" s="399">
        <v>0</v>
      </c>
      <c r="AR217" s="399">
        <v>0</v>
      </c>
      <c r="AS217" s="399"/>
      <c r="AT217" s="399"/>
      <c r="AU217" s="399">
        <v>0</v>
      </c>
      <c r="AV217" s="399">
        <v>0</v>
      </c>
      <c r="AW217" s="399">
        <v>0</v>
      </c>
      <c r="AX217" s="399"/>
      <c r="AY217" s="399"/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/>
      <c r="BG217" s="399">
        <v>0</v>
      </c>
      <c r="BH217" s="399">
        <v>0</v>
      </c>
      <c r="BI217" s="399">
        <v>102.86</v>
      </c>
      <c r="BJ217" s="399">
        <v>474.79</v>
      </c>
      <c r="BK217" s="399">
        <v>4556.22</v>
      </c>
      <c r="BL217" s="399">
        <v>2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0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11290.4</v>
      </c>
      <c r="CJ217" s="399">
        <v>-4175.630000000001</v>
      </c>
      <c r="CK217" s="399"/>
      <c r="CL217" s="399"/>
      <c r="CM217" s="399"/>
      <c r="CN217" s="399"/>
      <c r="CO217" s="399">
        <v>-4175.5999999999995</v>
      </c>
      <c r="CP217" s="399">
        <v>0</v>
      </c>
      <c r="CQ217" s="399">
        <v>31</v>
      </c>
      <c r="CR217" s="399">
        <v>-27.937084382459943</v>
      </c>
      <c r="CS217" s="399">
        <v>0</v>
      </c>
      <c r="CT217" s="399">
        <v>0</v>
      </c>
      <c r="CU217" s="399">
        <v>0</v>
      </c>
      <c r="CV217" s="399">
        <v>0</v>
      </c>
      <c r="CW217" s="399"/>
      <c r="CX217" s="399"/>
      <c r="CY217" s="399"/>
      <c r="CZ217" s="399">
        <v>-27.937084382459943</v>
      </c>
      <c r="DA217" s="399">
        <v>0</v>
      </c>
      <c r="DB217" s="399">
        <v>0</v>
      </c>
      <c r="DC217" s="399"/>
      <c r="DD217" s="399"/>
      <c r="DE217" s="399">
        <v>0</v>
      </c>
      <c r="DF217" s="399">
        <v>0</v>
      </c>
      <c r="DG217" s="399">
        <v>0</v>
      </c>
      <c r="DH217" s="399">
        <v>0</v>
      </c>
      <c r="DI217" s="399">
        <v>0</v>
      </c>
      <c r="DJ217" s="399"/>
      <c r="DK217" s="399">
        <v>0</v>
      </c>
      <c r="DL217" s="399">
        <v>0</v>
      </c>
      <c r="DM217" s="399"/>
      <c r="DN217" s="399">
        <v>0</v>
      </c>
      <c r="DO217" s="399">
        <v>0</v>
      </c>
      <c r="DP217" s="399">
        <v>0</v>
      </c>
      <c r="DQ217" s="399">
        <v>0</v>
      </c>
      <c r="DR217" s="399">
        <v>0</v>
      </c>
      <c r="DS217" s="399"/>
      <c r="DT217" s="399"/>
      <c r="DU217" s="399">
        <v>9599.9099773646521</v>
      </c>
      <c r="DV217" s="399"/>
      <c r="DW217" s="399">
        <v>0</v>
      </c>
      <c r="DX217" s="399">
        <v>0</v>
      </c>
      <c r="DY217" s="399">
        <v>-4175.6000000000004</v>
      </c>
      <c r="DZ217" s="399"/>
      <c r="EA217" s="399">
        <v>0</v>
      </c>
      <c r="EB217" s="399"/>
      <c r="EC217" s="399">
        <v>-4147.3471960497727</v>
      </c>
      <c r="ED217" s="399"/>
      <c r="EE217" s="399">
        <v>0</v>
      </c>
      <c r="EF217" s="399">
        <v>0</v>
      </c>
      <c r="EG217" s="399"/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/>
      <c r="EN217" s="399"/>
      <c r="EO217" s="399">
        <v>0</v>
      </c>
      <c r="EP217" s="399">
        <v>0</v>
      </c>
      <c r="EQ217" s="399"/>
      <c r="ER217" s="399">
        <v>0</v>
      </c>
      <c r="ES217" s="399"/>
      <c r="ET217" s="399">
        <v>0</v>
      </c>
      <c r="EU217" s="399"/>
      <c r="EV217" s="399">
        <v>218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956</v>
      </c>
      <c r="C218" s="399" t="s">
        <v>2328</v>
      </c>
      <c r="D218" s="399" t="s">
        <v>1826</v>
      </c>
      <c r="E218" s="399" t="s">
        <v>918</v>
      </c>
      <c r="F218" s="399" t="s">
        <v>1239</v>
      </c>
      <c r="G218" s="399" t="s">
        <v>1239</v>
      </c>
      <c r="H218" s="399" t="s">
        <v>1239</v>
      </c>
      <c r="I218" s="399" t="s">
        <v>1239</v>
      </c>
      <c r="J218" s="399" t="s">
        <v>2329</v>
      </c>
      <c r="K218" s="789">
        <v>44562</v>
      </c>
      <c r="L218" s="399">
        <v>0</v>
      </c>
      <c r="M218" s="399">
        <v>0</v>
      </c>
      <c r="N218" s="399">
        <v>226.01300000000001</v>
      </c>
      <c r="O218" s="399">
        <v>226.01300000000001</v>
      </c>
      <c r="P218" s="399">
        <v>226.01300000000001</v>
      </c>
      <c r="Q218" s="399">
        <v>226.01300000000001</v>
      </c>
      <c r="R218" s="399"/>
      <c r="S218" s="399">
        <v>521.86</v>
      </c>
      <c r="T218" s="399">
        <v>141.32</v>
      </c>
      <c r="U218" s="399"/>
      <c r="V218" s="399">
        <v>149887.30134000001</v>
      </c>
      <c r="W218" s="399">
        <v>149887.30134000001</v>
      </c>
      <c r="X218" s="399">
        <v>117149.31829</v>
      </c>
      <c r="Y218" s="399">
        <v>0</v>
      </c>
      <c r="Z218" s="399">
        <v>13713.800405088818</v>
      </c>
      <c r="AA218" s="399">
        <v>0</v>
      </c>
      <c r="AB218" s="399">
        <v>0</v>
      </c>
      <c r="AC218" s="399">
        <v>0</v>
      </c>
      <c r="AD218" s="399">
        <v>24308.557501884305</v>
      </c>
      <c r="AE218" s="399">
        <v>73443.103998250197</v>
      </c>
      <c r="AF218" s="399">
        <v>31939.915333319255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2120.4522367682721</v>
      </c>
      <c r="AM218" s="399"/>
      <c r="AN218" s="399">
        <v>313.44989973240467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4046.7397141593974</v>
      </c>
      <c r="BH218" s="399">
        <v>0</v>
      </c>
      <c r="BI218" s="399">
        <v>1004.12</v>
      </c>
      <c r="BJ218" s="399">
        <v>4646.3</v>
      </c>
      <c r="BK218" s="399">
        <v>50869.1</v>
      </c>
      <c r="BL218" s="399">
        <v>576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35986.655047478649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117147.76329999999</v>
      </c>
      <c r="CJ218" s="399">
        <v>-32739.568040000013</v>
      </c>
      <c r="CK218" s="399"/>
      <c r="CL218" s="399"/>
      <c r="CM218" s="399"/>
      <c r="CN218" s="399"/>
      <c r="CO218" s="399">
        <v>-32737.983050000006</v>
      </c>
      <c r="CP218" s="399">
        <v>0</v>
      </c>
      <c r="CQ218" s="399">
        <v>31</v>
      </c>
      <c r="CR218" s="399">
        <v>-1007.0545677786722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-115.77444342704621</v>
      </c>
      <c r="DA218" s="399">
        <v>0</v>
      </c>
      <c r="DB218" s="399">
        <v>0</v>
      </c>
      <c r="DC218" s="399">
        <v>0</v>
      </c>
      <c r="DD218" s="399">
        <v>0</v>
      </c>
      <c r="DE218" s="399">
        <v>0</v>
      </c>
      <c r="DF218" s="399">
        <v>0</v>
      </c>
      <c r="DG218" s="399">
        <v>0</v>
      </c>
      <c r="DH218" s="399">
        <v>0</v>
      </c>
      <c r="DI218" s="399">
        <v>-772.68572568200943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-105.95518659948993</v>
      </c>
      <c r="DP218" s="399">
        <v>-12.639212070130952</v>
      </c>
      <c r="DQ218" s="399">
        <v>0</v>
      </c>
      <c r="DR218" s="399">
        <v>0</v>
      </c>
      <c r="DS218" s="399"/>
      <c r="DT218" s="399"/>
      <c r="DU218" s="399"/>
      <c r="DV218" s="399">
        <v>73443.103998250197</v>
      </c>
      <c r="DW218" s="399">
        <v>0</v>
      </c>
      <c r="DX218" s="399">
        <v>0</v>
      </c>
      <c r="DY218" s="399">
        <v>-32737.98305000001</v>
      </c>
      <c r="DZ218" s="399">
        <v>0</v>
      </c>
      <c r="EA218" s="399">
        <v>0</v>
      </c>
      <c r="EB218" s="399">
        <v>0</v>
      </c>
      <c r="EC218" s="399">
        <v>-31728.844557347686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218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2360</v>
      </c>
      <c r="C219" s="399" t="s">
        <v>2328</v>
      </c>
      <c r="D219" s="399" t="s">
        <v>1826</v>
      </c>
      <c r="E219" s="399" t="s">
        <v>918</v>
      </c>
      <c r="F219" s="399" t="s">
        <v>1239</v>
      </c>
      <c r="G219" s="399" t="s">
        <v>1239</v>
      </c>
      <c r="H219" s="399" t="s">
        <v>1239</v>
      </c>
      <c r="I219" s="399" t="s">
        <v>1239</v>
      </c>
      <c r="J219" s="399" t="s">
        <v>2329</v>
      </c>
      <c r="K219" s="789">
        <v>44562</v>
      </c>
      <c r="L219" s="399">
        <v>0</v>
      </c>
      <c r="M219" s="399">
        <v>0</v>
      </c>
      <c r="N219" s="399">
        <v>-0.16</v>
      </c>
      <c r="O219" s="399">
        <v>-0.16</v>
      </c>
      <c r="P219" s="399">
        <v>-0.16</v>
      </c>
      <c r="Q219" s="399">
        <v>-0.16</v>
      </c>
      <c r="R219" s="399"/>
      <c r="S219" s="399">
        <v>521.86</v>
      </c>
      <c r="T219" s="399">
        <v>141.32</v>
      </c>
      <c r="U219" s="399"/>
      <c r="V219" s="399">
        <v>-106.1088</v>
      </c>
      <c r="W219" s="399">
        <v>-106.1088</v>
      </c>
      <c r="X219" s="399">
        <v>-82.9328</v>
      </c>
      <c r="Y219" s="399">
        <v>0</v>
      </c>
      <c r="Z219" s="399">
        <v>-9.7083267989638244</v>
      </c>
      <c r="AA219" s="399">
        <v>0</v>
      </c>
      <c r="AB219" s="399">
        <v>0</v>
      </c>
      <c r="AC219" s="399">
        <v>0</v>
      </c>
      <c r="AD219" s="399">
        <v>-17.208608355720639</v>
      </c>
      <c r="AE219" s="399">
        <v>-51.992127177286406</v>
      </c>
      <c r="AF219" s="399">
        <v>-22.611028805117762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-1.5011187758355649</v>
      </c>
      <c r="AM219" s="399"/>
      <c r="AN219" s="399">
        <v>-0.22189866935611999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-2.8647836817594721</v>
      </c>
      <c r="BH219" s="399">
        <v>0</v>
      </c>
      <c r="BI219" s="399">
        <v>-0.72</v>
      </c>
      <c r="BJ219" s="399">
        <v>-3.28</v>
      </c>
      <c r="BK219" s="399">
        <v>-36.549999999999997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-25.475812486877235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-82.9328</v>
      </c>
      <c r="CJ219" s="399">
        <v>23.145999999999987</v>
      </c>
      <c r="CK219" s="399"/>
      <c r="CL219" s="399"/>
      <c r="CM219" s="399"/>
      <c r="CN219" s="399"/>
      <c r="CO219" s="399">
        <v>23.176000000000005</v>
      </c>
      <c r="CP219" s="399">
        <v>0</v>
      </c>
      <c r="CQ219" s="399">
        <v>31</v>
      </c>
      <c r="CR219" s="399">
        <v>0.71291797748177999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8.1959493251837046E-2</v>
      </c>
      <c r="DA219" s="399">
        <v>0</v>
      </c>
      <c r="DB219" s="399">
        <v>0</v>
      </c>
      <c r="DC219" s="399">
        <v>0</v>
      </c>
      <c r="DD219" s="399">
        <v>0</v>
      </c>
      <c r="DE219" s="399">
        <v>0</v>
      </c>
      <c r="DF219" s="399">
        <v>0</v>
      </c>
      <c r="DG219" s="399">
        <v>0</v>
      </c>
      <c r="DH219" s="399">
        <v>0</v>
      </c>
      <c r="DI219" s="399">
        <v>0.54700267731998409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7.5008206854996873E-2</v>
      </c>
      <c r="DP219" s="399">
        <v>8.9476000549567891E-3</v>
      </c>
      <c r="DQ219" s="399">
        <v>0</v>
      </c>
      <c r="DR219" s="399">
        <v>0</v>
      </c>
      <c r="DS219" s="399"/>
      <c r="DT219" s="399"/>
      <c r="DU219" s="399"/>
      <c r="DV219" s="399">
        <v>-51.992127177286406</v>
      </c>
      <c r="DW219" s="399">
        <v>0</v>
      </c>
      <c r="DX219" s="399">
        <v>0</v>
      </c>
      <c r="DY219" s="399">
        <v>23.176000000000009</v>
      </c>
      <c r="DZ219" s="399">
        <v>0</v>
      </c>
      <c r="EA219" s="399">
        <v>0</v>
      </c>
      <c r="EB219" s="399">
        <v>0</v>
      </c>
      <c r="EC219" s="399">
        <v>22.461606762335045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218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2361</v>
      </c>
      <c r="C220" s="399" t="s">
        <v>2328</v>
      </c>
      <c r="D220" s="399" t="s">
        <v>1826</v>
      </c>
      <c r="E220" s="399" t="s">
        <v>918</v>
      </c>
      <c r="F220" s="399" t="s">
        <v>1239</v>
      </c>
      <c r="G220" s="399" t="s">
        <v>1239</v>
      </c>
      <c r="H220" s="399" t="s">
        <v>1239</v>
      </c>
      <c r="I220" s="399" t="s">
        <v>1239</v>
      </c>
      <c r="J220" s="399" t="s">
        <v>2329</v>
      </c>
      <c r="K220" s="789">
        <v>44562</v>
      </c>
      <c r="L220" s="399">
        <v>0</v>
      </c>
      <c r="M220" s="399">
        <v>0</v>
      </c>
      <c r="N220" s="399">
        <v>8.4700000000000006</v>
      </c>
      <c r="O220" s="399">
        <v>8.4700000000000006</v>
      </c>
      <c r="P220" s="399">
        <v>8.4700000000000006</v>
      </c>
      <c r="Q220" s="399">
        <v>8.4700000000000006</v>
      </c>
      <c r="R220" s="399"/>
      <c r="S220" s="399">
        <v>521.86</v>
      </c>
      <c r="T220" s="399">
        <v>141.32</v>
      </c>
      <c r="U220" s="399"/>
      <c r="V220" s="399">
        <v>5617.1346000000012</v>
      </c>
      <c r="W220" s="399">
        <v>5617.1346000000012</v>
      </c>
      <c r="X220" s="399">
        <v>4390.2551000000003</v>
      </c>
      <c r="Y220" s="399">
        <v>0</v>
      </c>
      <c r="Z220" s="399">
        <v>513.93454992014745</v>
      </c>
      <c r="AA220" s="399">
        <v>0</v>
      </c>
      <c r="AB220" s="399">
        <v>0</v>
      </c>
      <c r="AC220" s="399">
        <v>0</v>
      </c>
      <c r="AD220" s="399">
        <v>910.98070483096137</v>
      </c>
      <c r="AE220" s="399">
        <v>2752.3332324475991</v>
      </c>
      <c r="AF220" s="399">
        <v>1196.9713373709217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79.465475195795221</v>
      </c>
      <c r="AM220" s="399"/>
      <c r="AN220" s="399">
        <v>11.746760809039603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151.65448615314205</v>
      </c>
      <c r="BH220" s="399">
        <v>0</v>
      </c>
      <c r="BI220" s="399">
        <v>37.54</v>
      </c>
      <c r="BJ220" s="399">
        <v>174.2</v>
      </c>
      <c r="BK220" s="399">
        <v>5246.8</v>
      </c>
      <c r="BL220" s="399">
        <v>34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1348.6258235240637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4390.2551000000003</v>
      </c>
      <c r="CJ220" s="399">
        <v>-1226.9095000000016</v>
      </c>
      <c r="CK220" s="399"/>
      <c r="CL220" s="399"/>
      <c r="CM220" s="399"/>
      <c r="CN220" s="399"/>
      <c r="CO220" s="399">
        <v>-1226.8795000000002</v>
      </c>
      <c r="CP220" s="399">
        <v>0</v>
      </c>
      <c r="CQ220" s="399">
        <v>31</v>
      </c>
      <c r="CR220" s="399">
        <v>-37.740095432941871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-4.3387306740191889</v>
      </c>
      <c r="DA220" s="399">
        <v>0</v>
      </c>
      <c r="DB220" s="399">
        <v>0</v>
      </c>
      <c r="DC220" s="399">
        <v>0</v>
      </c>
      <c r="DD220" s="399">
        <v>0</v>
      </c>
      <c r="DE220" s="399">
        <v>0</v>
      </c>
      <c r="DF220" s="399">
        <v>0</v>
      </c>
      <c r="DG220" s="399">
        <v>0</v>
      </c>
      <c r="DH220" s="399">
        <v>0</v>
      </c>
      <c r="DI220" s="399">
        <v>-28.956954230626593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-3.970746950386399</v>
      </c>
      <c r="DP220" s="399">
        <v>-0.47366357790927616</v>
      </c>
      <c r="DQ220" s="399">
        <v>0</v>
      </c>
      <c r="DR220" s="399">
        <v>0</v>
      </c>
      <c r="DS220" s="399"/>
      <c r="DT220" s="399"/>
      <c r="DU220" s="399"/>
      <c r="DV220" s="399">
        <v>2752.3332324475991</v>
      </c>
      <c r="DW220" s="399">
        <v>0</v>
      </c>
      <c r="DX220" s="399">
        <v>0</v>
      </c>
      <c r="DY220" s="399">
        <v>-1226.8795000000009</v>
      </c>
      <c r="DZ220" s="399">
        <v>0</v>
      </c>
      <c r="EA220" s="399">
        <v>0</v>
      </c>
      <c r="EB220" s="399">
        <v>0</v>
      </c>
      <c r="EC220" s="399">
        <v>-1189.0613079811114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218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956</v>
      </c>
      <c r="C221" s="399" t="s">
        <v>2334</v>
      </c>
      <c r="D221" s="399" t="s">
        <v>533</v>
      </c>
      <c r="E221" s="399" t="s">
        <v>918</v>
      </c>
      <c r="F221" s="399" t="s">
        <v>1239</v>
      </c>
      <c r="G221" s="399" t="s">
        <v>1239</v>
      </c>
      <c r="H221" s="399" t="s">
        <v>1239</v>
      </c>
      <c r="I221" s="399" t="s">
        <v>893</v>
      </c>
      <c r="J221" s="399" t="s">
        <v>2329</v>
      </c>
      <c r="K221" s="789">
        <v>44562</v>
      </c>
      <c r="L221" s="399">
        <v>0</v>
      </c>
      <c r="M221" s="399">
        <v>0</v>
      </c>
      <c r="N221" s="399">
        <v>1.756</v>
      </c>
      <c r="O221" s="399">
        <v>1.756</v>
      </c>
      <c r="P221" s="399">
        <v>1.756</v>
      </c>
      <c r="Q221" s="399">
        <v>1.756</v>
      </c>
      <c r="R221" s="399"/>
      <c r="S221" s="399">
        <v>2741.05</v>
      </c>
      <c r="T221" s="399">
        <v>141.32</v>
      </c>
      <c r="U221" s="399"/>
      <c r="V221" s="399">
        <v>5061.4417199999998</v>
      </c>
      <c r="W221" s="399">
        <v>5061.4417199999998</v>
      </c>
      <c r="X221" s="399">
        <v>3624.17328</v>
      </c>
      <c r="Y221" s="399">
        <v>0</v>
      </c>
      <c r="Z221" s="399">
        <v>92.697531358206348</v>
      </c>
      <c r="AA221" s="399">
        <v>0</v>
      </c>
      <c r="AB221" s="399">
        <v>0</v>
      </c>
      <c r="AC221" s="399">
        <v>0</v>
      </c>
      <c r="AD221" s="399">
        <v>1393.4939573487925</v>
      </c>
      <c r="AE221" s="399">
        <v>3297.4321412627255</v>
      </c>
      <c r="AF221" s="399">
        <v>248.15604113616743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16.474778564795326</v>
      </c>
      <c r="AM221" s="399"/>
      <c r="AN221" s="399">
        <v>1.0549036762327606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12.139154994052387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260.29519613021984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3632.4287999999997</v>
      </c>
      <c r="CJ221" s="399">
        <v>-1429.0429200000008</v>
      </c>
      <c r="CK221" s="399"/>
      <c r="CL221" s="399"/>
      <c r="CM221" s="399"/>
      <c r="CN221" s="399"/>
      <c r="CO221" s="399">
        <v>-1437.2684400000005</v>
      </c>
      <c r="CP221" s="399">
        <v>0</v>
      </c>
      <c r="CQ221" s="399">
        <v>31</v>
      </c>
      <c r="CR221" s="399">
        <v>-12.725468232378716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-6.6367980625175278</v>
      </c>
      <c r="DA221" s="399">
        <v>0</v>
      </c>
      <c r="DB221" s="399">
        <v>0</v>
      </c>
      <c r="DC221" s="399">
        <v>0</v>
      </c>
      <c r="DD221" s="399">
        <v>0</v>
      </c>
      <c r="DE221" s="399">
        <v>0</v>
      </c>
      <c r="DF221" s="399">
        <v>0</v>
      </c>
      <c r="DG221" s="399">
        <v>0</v>
      </c>
      <c r="DH221" s="399">
        <v>0</v>
      </c>
      <c r="DI221" s="399">
        <v>-5.2229183137206974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-0.82321507023359253</v>
      </c>
      <c r="DP221" s="399">
        <v>-4.2536785906936769E-2</v>
      </c>
      <c r="DQ221" s="399">
        <v>0</v>
      </c>
      <c r="DR221" s="399">
        <v>0</v>
      </c>
      <c r="DS221" s="399"/>
      <c r="DT221" s="399"/>
      <c r="DU221" s="399"/>
      <c r="DV221" s="399">
        <v>3297.4321412627255</v>
      </c>
      <c r="DW221" s="399">
        <v>0</v>
      </c>
      <c r="DX221" s="399">
        <v>0</v>
      </c>
      <c r="DY221" s="399">
        <v>-1437.2684400000003</v>
      </c>
      <c r="DZ221" s="399">
        <v>0</v>
      </c>
      <c r="EA221" s="399">
        <v>0</v>
      </c>
      <c r="EB221" s="399">
        <v>0</v>
      </c>
      <c r="EC221" s="399">
        <v>-1424.5546028531185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218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956</v>
      </c>
      <c r="C222" s="399" t="s">
        <v>2334</v>
      </c>
      <c r="D222" s="399" t="s">
        <v>533</v>
      </c>
      <c r="E222" s="399" t="s">
        <v>918</v>
      </c>
      <c r="F222" s="399" t="s">
        <v>1239</v>
      </c>
      <c r="G222" s="399" t="s">
        <v>1239</v>
      </c>
      <c r="H222" s="399" t="s">
        <v>1239</v>
      </c>
      <c r="I222" s="399" t="s">
        <v>2326</v>
      </c>
      <c r="J222" s="399" t="s">
        <v>2329</v>
      </c>
      <c r="K222" s="789">
        <v>44562</v>
      </c>
      <c r="L222" s="399">
        <v>0</v>
      </c>
      <c r="M222" s="399">
        <v>0</v>
      </c>
      <c r="N222" s="399">
        <v>24.986999999999998</v>
      </c>
      <c r="O222" s="399">
        <v>24.986999999999998</v>
      </c>
      <c r="P222" s="399">
        <v>24.986999999999998</v>
      </c>
      <c r="Q222" s="399">
        <v>24.986999999999998</v>
      </c>
      <c r="R222" s="399"/>
      <c r="S222" s="399">
        <v>69.680000000000007</v>
      </c>
      <c r="T222" s="399">
        <v>141.32</v>
      </c>
      <c r="U222" s="399"/>
      <c r="V222" s="399">
        <v>5272.2569999999996</v>
      </c>
      <c r="W222" s="399">
        <v>5272.2569999999996</v>
      </c>
      <c r="X222" s="399">
        <v>5185.8019799999993</v>
      </c>
      <c r="Y222" s="399">
        <v>0</v>
      </c>
      <c r="Z222" s="399">
        <v>1319.0394168835433</v>
      </c>
      <c r="AA222" s="399">
        <v>0</v>
      </c>
      <c r="AB222" s="399">
        <v>0</v>
      </c>
      <c r="AC222" s="399">
        <v>0</v>
      </c>
      <c r="AD222" s="399">
        <v>0</v>
      </c>
      <c r="AE222" s="399">
        <v>0</v>
      </c>
      <c r="AF222" s="399">
        <v>3531.1361047092341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234.42784282377036</v>
      </c>
      <c r="AM222" s="399"/>
      <c r="AN222" s="399">
        <v>15.010750659469242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172.73409216195159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3703.8701968711857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5186.4245999999994</v>
      </c>
      <c r="CJ222" s="399">
        <v>-85.862400000000889</v>
      </c>
      <c r="CK222" s="399"/>
      <c r="CL222" s="399"/>
      <c r="CM222" s="399"/>
      <c r="CN222" s="399"/>
      <c r="CO222" s="399">
        <v>-86.455020000000189</v>
      </c>
      <c r="CP222" s="399">
        <v>0</v>
      </c>
      <c r="CQ222" s="399">
        <v>31</v>
      </c>
      <c r="CR222" s="399">
        <v>-86.638725247335969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</v>
      </c>
      <c r="DA222" s="399">
        <v>0</v>
      </c>
      <c r="DB222" s="399">
        <v>0</v>
      </c>
      <c r="DC222" s="399">
        <v>0</v>
      </c>
      <c r="DD222" s="399">
        <v>0</v>
      </c>
      <c r="DE222" s="399">
        <v>0</v>
      </c>
      <c r="DF222" s="399">
        <v>0</v>
      </c>
      <c r="DG222" s="399">
        <v>0</v>
      </c>
      <c r="DH222" s="399">
        <v>0</v>
      </c>
      <c r="DI222" s="399">
        <v>-74.319510196434521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-11.713937904286297</v>
      </c>
      <c r="DP222" s="399">
        <v>-0.60527714661539278</v>
      </c>
      <c r="DQ222" s="399">
        <v>0</v>
      </c>
      <c r="DR222" s="399">
        <v>0</v>
      </c>
      <c r="DS222" s="399"/>
      <c r="DT222" s="399"/>
      <c r="DU222" s="399"/>
      <c r="DV222" s="399">
        <v>0</v>
      </c>
      <c r="DW222" s="399">
        <v>0</v>
      </c>
      <c r="DX222" s="399">
        <v>0</v>
      </c>
      <c r="DY222" s="399">
        <v>-86.455020000000331</v>
      </c>
      <c r="DZ222" s="399">
        <v>0</v>
      </c>
      <c r="EA222" s="399">
        <v>0</v>
      </c>
      <c r="EB222" s="399">
        <v>0</v>
      </c>
      <c r="EC222" s="399">
        <v>0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218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956</v>
      </c>
      <c r="C223" s="399" t="s">
        <v>2334</v>
      </c>
      <c r="D223" s="399" t="s">
        <v>533</v>
      </c>
      <c r="E223" s="399" t="s">
        <v>918</v>
      </c>
      <c r="F223" s="399" t="s">
        <v>1239</v>
      </c>
      <c r="G223" s="399" t="s">
        <v>1239</v>
      </c>
      <c r="H223" s="399" t="s">
        <v>1239</v>
      </c>
      <c r="I223" s="399" t="s">
        <v>1239</v>
      </c>
      <c r="J223" s="399" t="s">
        <v>2329</v>
      </c>
      <c r="K223" s="789">
        <v>44562</v>
      </c>
      <c r="L223" s="399">
        <v>313</v>
      </c>
      <c r="M223" s="399">
        <v>313</v>
      </c>
      <c r="N223" s="399">
        <v>0</v>
      </c>
      <c r="O223" s="399">
        <v>0</v>
      </c>
      <c r="P223" s="399">
        <v>0</v>
      </c>
      <c r="Q223" s="399">
        <v>0</v>
      </c>
      <c r="R223" s="399">
        <v>35.15</v>
      </c>
      <c r="S223" s="399"/>
      <c r="T223" s="399"/>
      <c r="U223" s="399">
        <v>11001.949999999999</v>
      </c>
      <c r="V223" s="399"/>
      <c r="W223" s="399">
        <v>11001.949999999999</v>
      </c>
      <c r="X223" s="399">
        <v>8031.58</v>
      </c>
      <c r="Y223" s="399">
        <v>0</v>
      </c>
      <c r="Z223" s="399">
        <v>0</v>
      </c>
      <c r="AA223" s="399">
        <v>0</v>
      </c>
      <c r="AB223" s="399">
        <v>0</v>
      </c>
      <c r="AC223" s="399">
        <v>0</v>
      </c>
      <c r="AD223" s="399">
        <v>4172.719840560294</v>
      </c>
      <c r="AE223" s="399">
        <v>6829.0268702616731</v>
      </c>
      <c r="AF223" s="399"/>
      <c r="AG223" s="399"/>
      <c r="AH223" s="399"/>
      <c r="AI223" s="399">
        <v>0</v>
      </c>
      <c r="AJ223" s="399">
        <v>0</v>
      </c>
      <c r="AK223" s="399">
        <v>0</v>
      </c>
      <c r="AL223" s="399">
        <v>0</v>
      </c>
      <c r="AM223" s="399"/>
      <c r="AN223" s="399">
        <v>0</v>
      </c>
      <c r="AO223" s="399">
        <v>0</v>
      </c>
      <c r="AP223" s="399">
        <v>0</v>
      </c>
      <c r="AQ223" s="399">
        <v>0</v>
      </c>
      <c r="AR223" s="399">
        <v>0</v>
      </c>
      <c r="AS223" s="399"/>
      <c r="AT223" s="399"/>
      <c r="AU223" s="399">
        <v>0</v>
      </c>
      <c r="AV223" s="399">
        <v>0</v>
      </c>
      <c r="AW223" s="399">
        <v>0</v>
      </c>
      <c r="AX223" s="399"/>
      <c r="AY223" s="399"/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/>
      <c r="BG223" s="399">
        <v>0</v>
      </c>
      <c r="BH223" s="399">
        <v>0</v>
      </c>
      <c r="BI223" s="399">
        <v>143.72</v>
      </c>
      <c r="BJ223" s="399">
        <v>663.4</v>
      </c>
      <c r="BK223" s="399">
        <v>7060.37</v>
      </c>
      <c r="BL223" s="399">
        <v>3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0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8031.58</v>
      </c>
      <c r="CJ223" s="399">
        <v>-2970.3999999999996</v>
      </c>
      <c r="CK223" s="399"/>
      <c r="CL223" s="399"/>
      <c r="CM223" s="399"/>
      <c r="CN223" s="399"/>
      <c r="CO223" s="399">
        <v>-2970.3699999999994</v>
      </c>
      <c r="CP223" s="399">
        <v>0</v>
      </c>
      <c r="CQ223" s="399">
        <v>31</v>
      </c>
      <c r="CR223" s="399">
        <v>-19.87342593570429</v>
      </c>
      <c r="CS223" s="399">
        <v>0</v>
      </c>
      <c r="CT223" s="399">
        <v>0</v>
      </c>
      <c r="CU223" s="399">
        <v>0</v>
      </c>
      <c r="CV223" s="399">
        <v>0</v>
      </c>
      <c r="CW223" s="399"/>
      <c r="CX223" s="399"/>
      <c r="CY223" s="399"/>
      <c r="CZ223" s="399">
        <v>-19.87342593570429</v>
      </c>
      <c r="DA223" s="399">
        <v>0</v>
      </c>
      <c r="DB223" s="399">
        <v>0</v>
      </c>
      <c r="DC223" s="399"/>
      <c r="DD223" s="399"/>
      <c r="DE223" s="399">
        <v>0</v>
      </c>
      <c r="DF223" s="399">
        <v>0</v>
      </c>
      <c r="DG223" s="399">
        <v>0</v>
      </c>
      <c r="DH223" s="399">
        <v>0</v>
      </c>
      <c r="DI223" s="399">
        <v>0</v>
      </c>
      <c r="DJ223" s="399"/>
      <c r="DK223" s="399">
        <v>0</v>
      </c>
      <c r="DL223" s="399">
        <v>0</v>
      </c>
      <c r="DM223" s="399"/>
      <c r="DN223" s="399">
        <v>0</v>
      </c>
      <c r="DO223" s="399">
        <v>0</v>
      </c>
      <c r="DP223" s="399">
        <v>0</v>
      </c>
      <c r="DQ223" s="399">
        <v>0</v>
      </c>
      <c r="DR223" s="399">
        <v>0</v>
      </c>
      <c r="DS223" s="399"/>
      <c r="DT223" s="399"/>
      <c r="DU223" s="399">
        <v>6829.0268702616731</v>
      </c>
      <c r="DV223" s="399"/>
      <c r="DW223" s="399">
        <v>0</v>
      </c>
      <c r="DX223" s="399">
        <v>0</v>
      </c>
      <c r="DY223" s="399">
        <v>-2970.369999999999</v>
      </c>
      <c r="DZ223" s="399"/>
      <c r="EA223" s="399">
        <v>0</v>
      </c>
      <c r="EB223" s="399"/>
      <c r="EC223" s="399">
        <v>-2950.2719826444973</v>
      </c>
      <c r="ED223" s="399"/>
      <c r="EE223" s="399">
        <v>0</v>
      </c>
      <c r="EF223" s="399">
        <v>0</v>
      </c>
      <c r="EG223" s="399"/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/>
      <c r="EN223" s="399"/>
      <c r="EO223" s="399">
        <v>0</v>
      </c>
      <c r="EP223" s="399">
        <v>0</v>
      </c>
      <c r="EQ223" s="399"/>
      <c r="ER223" s="399">
        <v>0</v>
      </c>
      <c r="ES223" s="399"/>
      <c r="ET223" s="399">
        <v>0</v>
      </c>
      <c r="EU223" s="399"/>
      <c r="EV223" s="399">
        <v>218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956</v>
      </c>
      <c r="C224" s="399" t="s">
        <v>2328</v>
      </c>
      <c r="D224" s="399" t="s">
        <v>2335</v>
      </c>
      <c r="E224" s="399" t="s">
        <v>894</v>
      </c>
      <c r="F224" s="399" t="s">
        <v>1239</v>
      </c>
      <c r="G224" s="399" t="s">
        <v>1239</v>
      </c>
      <c r="H224" s="399" t="s">
        <v>1239</v>
      </c>
      <c r="I224" s="399" t="s">
        <v>1239</v>
      </c>
      <c r="J224" s="399" t="s">
        <v>2329</v>
      </c>
      <c r="K224" s="789">
        <v>44562</v>
      </c>
      <c r="L224" s="399">
        <v>0</v>
      </c>
      <c r="M224" s="399">
        <v>0</v>
      </c>
      <c r="N224" s="399">
        <v>3726.4209999999998</v>
      </c>
      <c r="O224" s="399">
        <v>3726.4209999999998</v>
      </c>
      <c r="P224" s="399">
        <v>3726.4209999999998</v>
      </c>
      <c r="Q224" s="399">
        <v>3726.4209999999998</v>
      </c>
      <c r="R224" s="399"/>
      <c r="S224" s="399">
        <v>521.86</v>
      </c>
      <c r="T224" s="399">
        <v>141.32</v>
      </c>
      <c r="U224" s="399"/>
      <c r="V224" s="399">
        <v>2471287.8787799999</v>
      </c>
      <c r="W224" s="399">
        <v>2471287.8787799999</v>
      </c>
      <c r="X224" s="399">
        <v>1931515.7969299997</v>
      </c>
      <c r="Y224" s="399">
        <v>0</v>
      </c>
      <c r="Z224" s="399">
        <v>226108.20536575982</v>
      </c>
      <c r="AA224" s="399">
        <v>0</v>
      </c>
      <c r="AB224" s="399">
        <v>0</v>
      </c>
      <c r="AC224" s="399">
        <v>0</v>
      </c>
      <c r="AD224" s="399">
        <v>400790.74723458034</v>
      </c>
      <c r="AE224" s="399">
        <v>1210903.4659256923</v>
      </c>
      <c r="AF224" s="399">
        <v>526613.82856872329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34961.253311049637</v>
      </c>
      <c r="AM224" s="399"/>
      <c r="AN224" s="399">
        <v>5168.0491335043871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66721.187951036336</v>
      </c>
      <c r="BH224" s="399">
        <v>0</v>
      </c>
      <c r="BI224" s="399">
        <v>16573.77</v>
      </c>
      <c r="BJ224" s="399">
        <v>76620.58</v>
      </c>
      <c r="BK224" s="399">
        <v>609552.76</v>
      </c>
      <c r="BL224" s="399">
        <v>5588</v>
      </c>
      <c r="BM224" s="399"/>
      <c r="BN224" s="399"/>
      <c r="BO224" s="399"/>
      <c r="BP224" s="399"/>
      <c r="BQ224" s="399"/>
      <c r="BR224" s="399">
        <v>231783.38620000001</v>
      </c>
      <c r="BS224" s="399"/>
      <c r="BT224" s="399"/>
      <c r="BU224" s="399"/>
      <c r="BV224" s="399">
        <v>593335.01651975967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1699731.9545999998</v>
      </c>
      <c r="CJ224" s="399">
        <v>-474970.10679000011</v>
      </c>
      <c r="CK224" s="399"/>
      <c r="CL224" s="399"/>
      <c r="CM224" s="399"/>
      <c r="CN224" s="399"/>
      <c r="CO224" s="399">
        <v>-539772.08185000008</v>
      </c>
      <c r="CP224" s="399">
        <v>0</v>
      </c>
      <c r="CQ224" s="399">
        <v>31</v>
      </c>
      <c r="CR224" s="399">
        <v>-16603.953266034834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-1908.8473550187773</v>
      </c>
      <c r="DA224" s="399">
        <v>0</v>
      </c>
      <c r="DB224" s="399">
        <v>0</v>
      </c>
      <c r="DC224" s="399">
        <v>0</v>
      </c>
      <c r="DD224" s="399">
        <v>0</v>
      </c>
      <c r="DE224" s="399">
        <v>0</v>
      </c>
      <c r="DF224" s="399">
        <v>0</v>
      </c>
      <c r="DG224" s="399">
        <v>0</v>
      </c>
      <c r="DH224" s="399">
        <v>0</v>
      </c>
      <c r="DI224" s="399">
        <v>-12739.764148883813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-1746.9509824800334</v>
      </c>
      <c r="DP224" s="399">
        <v>-208.39077965245087</v>
      </c>
      <c r="DQ224" s="399">
        <v>0</v>
      </c>
      <c r="DR224" s="399">
        <v>0</v>
      </c>
      <c r="DS224" s="399"/>
      <c r="DT224" s="399"/>
      <c r="DU224" s="399"/>
      <c r="DV224" s="399">
        <v>1210903.4659256923</v>
      </c>
      <c r="DW224" s="399">
        <v>0</v>
      </c>
      <c r="DX224" s="399">
        <v>0</v>
      </c>
      <c r="DY224" s="399">
        <v>-539772.08185000019</v>
      </c>
      <c r="DZ224" s="399">
        <v>0</v>
      </c>
      <c r="EA224" s="399">
        <v>0</v>
      </c>
      <c r="EB224" s="399">
        <v>0</v>
      </c>
      <c r="EC224" s="399">
        <v>-523133.76958067075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218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2360</v>
      </c>
      <c r="C225" s="399" t="s">
        <v>2328</v>
      </c>
      <c r="D225" s="399" t="s">
        <v>2335</v>
      </c>
      <c r="E225" s="399" t="s">
        <v>894</v>
      </c>
      <c r="F225" s="399" t="s">
        <v>1239</v>
      </c>
      <c r="G225" s="399" t="s">
        <v>1239</v>
      </c>
      <c r="H225" s="399" t="s">
        <v>1239</v>
      </c>
      <c r="I225" s="399" t="s">
        <v>1239</v>
      </c>
      <c r="J225" s="399" t="s">
        <v>2329</v>
      </c>
      <c r="K225" s="789">
        <v>44562</v>
      </c>
      <c r="L225" s="399">
        <v>0</v>
      </c>
      <c r="M225" s="399">
        <v>0</v>
      </c>
      <c r="N225" s="399">
        <v>-1.607</v>
      </c>
      <c r="O225" s="399">
        <v>-1.607</v>
      </c>
      <c r="P225" s="399">
        <v>-1.607</v>
      </c>
      <c r="Q225" s="399">
        <v>-1.607</v>
      </c>
      <c r="R225" s="399"/>
      <c r="S225" s="399">
        <v>521.86</v>
      </c>
      <c r="T225" s="399">
        <v>141.32</v>
      </c>
      <c r="U225" s="399"/>
      <c r="V225" s="399">
        <v>-1065.73026</v>
      </c>
      <c r="W225" s="399">
        <v>-1065.73026</v>
      </c>
      <c r="X225" s="399">
        <v>-832.95630999999992</v>
      </c>
      <c r="Y225" s="399">
        <v>0</v>
      </c>
      <c r="Z225" s="399">
        <v>-97.508007287092909</v>
      </c>
      <c r="AA225" s="399">
        <v>0</v>
      </c>
      <c r="AB225" s="399">
        <v>0</v>
      </c>
      <c r="AC225" s="399">
        <v>0</v>
      </c>
      <c r="AD225" s="399">
        <v>-172.83896017276916</v>
      </c>
      <c r="AE225" s="399">
        <v>-522.19592733687034</v>
      </c>
      <c r="AF225" s="399">
        <v>-227.09952056140153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-15.076861704798455</v>
      </c>
      <c r="AM225" s="399"/>
      <c r="AN225" s="399">
        <v>-2.22869476034553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-28.773171103671697</v>
      </c>
      <c r="BH225" s="399">
        <v>0</v>
      </c>
      <c r="BI225" s="399">
        <v>-7.13</v>
      </c>
      <c r="BJ225" s="399">
        <v>-32.99</v>
      </c>
      <c r="BK225" s="399">
        <v>-173.52</v>
      </c>
      <c r="BL225" s="399">
        <v>0</v>
      </c>
      <c r="BM225" s="399"/>
      <c r="BN225" s="399"/>
      <c r="BO225" s="399"/>
      <c r="BP225" s="399"/>
      <c r="BQ225" s="399"/>
      <c r="BR225" s="399">
        <v>-99.955400000000012</v>
      </c>
      <c r="BS225" s="399"/>
      <c r="BT225" s="399"/>
      <c r="BU225" s="399"/>
      <c r="BV225" s="399">
        <v>-255.87269166507323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-734.36930000000007</v>
      </c>
      <c r="CJ225" s="399">
        <v>203.42983000000004</v>
      </c>
      <c r="CK225" s="399"/>
      <c r="CL225" s="399"/>
      <c r="CM225" s="399"/>
      <c r="CN225" s="399"/>
      <c r="CO225" s="399">
        <v>232.77395000000004</v>
      </c>
      <c r="CP225" s="399">
        <v>0</v>
      </c>
      <c r="CQ225" s="399">
        <v>31</v>
      </c>
      <c r="CR225" s="399">
        <v>7.1603699363326996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0.82318066034815729</v>
      </c>
      <c r="DA225" s="399">
        <v>0</v>
      </c>
      <c r="DB225" s="399">
        <v>0</v>
      </c>
      <c r="DC225" s="399">
        <v>0</v>
      </c>
      <c r="DD225" s="399">
        <v>0</v>
      </c>
      <c r="DE225" s="399">
        <v>0</v>
      </c>
      <c r="DF225" s="399">
        <v>0</v>
      </c>
      <c r="DG225" s="399">
        <v>0</v>
      </c>
      <c r="DH225" s="399">
        <v>0</v>
      </c>
      <c r="DI225" s="399">
        <v>5.4939581403325803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0.7533636775998751</v>
      </c>
      <c r="DP225" s="399">
        <v>8.9867458051972271E-2</v>
      </c>
      <c r="DQ225" s="399">
        <v>0</v>
      </c>
      <c r="DR225" s="399">
        <v>0</v>
      </c>
      <c r="DS225" s="399"/>
      <c r="DT225" s="399"/>
      <c r="DU225" s="399"/>
      <c r="DV225" s="399">
        <v>-522.19592733687034</v>
      </c>
      <c r="DW225" s="399">
        <v>0</v>
      </c>
      <c r="DX225" s="399">
        <v>0</v>
      </c>
      <c r="DY225" s="399">
        <v>232.77395000000001</v>
      </c>
      <c r="DZ225" s="399">
        <v>0</v>
      </c>
      <c r="EA225" s="399">
        <v>0</v>
      </c>
      <c r="EB225" s="399">
        <v>0</v>
      </c>
      <c r="EC225" s="399">
        <v>225.59876291920261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218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2361</v>
      </c>
      <c r="C226" s="399" t="s">
        <v>2328</v>
      </c>
      <c r="D226" s="399" t="s">
        <v>2335</v>
      </c>
      <c r="E226" s="399" t="s">
        <v>894</v>
      </c>
      <c r="F226" s="399" t="s">
        <v>1239</v>
      </c>
      <c r="G226" s="399" t="s">
        <v>1239</v>
      </c>
      <c r="H226" s="399" t="s">
        <v>1239</v>
      </c>
      <c r="I226" s="399" t="s">
        <v>1239</v>
      </c>
      <c r="J226" s="399" t="s">
        <v>2329</v>
      </c>
      <c r="K226" s="789">
        <v>44562</v>
      </c>
      <c r="L226" s="399">
        <v>0</v>
      </c>
      <c r="M226" s="399">
        <v>0</v>
      </c>
      <c r="N226" s="399">
        <v>362.125</v>
      </c>
      <c r="O226" s="399">
        <v>362.125</v>
      </c>
      <c r="P226" s="399">
        <v>362.125</v>
      </c>
      <c r="Q226" s="399">
        <v>362.125</v>
      </c>
      <c r="R226" s="399"/>
      <c r="S226" s="399">
        <v>521.86</v>
      </c>
      <c r="T226" s="399">
        <v>141.32</v>
      </c>
      <c r="U226" s="399"/>
      <c r="V226" s="399">
        <v>240154.0575</v>
      </c>
      <c r="W226" s="399">
        <v>240154.0575</v>
      </c>
      <c r="X226" s="399">
        <v>187700.25125</v>
      </c>
      <c r="Y226" s="399">
        <v>0</v>
      </c>
      <c r="Z226" s="399">
        <v>21972.674012967342</v>
      </c>
      <c r="AA226" s="399">
        <v>0</v>
      </c>
      <c r="AB226" s="399">
        <v>0</v>
      </c>
      <c r="AC226" s="399">
        <v>0</v>
      </c>
      <c r="AD226" s="399">
        <v>38947.920630095854</v>
      </c>
      <c r="AE226" s="399">
        <v>117672.80658796775</v>
      </c>
      <c r="AF226" s="399">
        <v>51175.117537832935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3397.4539793715871</v>
      </c>
      <c r="AM226" s="399"/>
      <c r="AN226" s="399">
        <v>502.21909775365594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6483.8111922321796</v>
      </c>
      <c r="BH226" s="399">
        <v>0</v>
      </c>
      <c r="BI226" s="399">
        <v>1611.23</v>
      </c>
      <c r="BJ226" s="399">
        <v>7447.24</v>
      </c>
      <c r="BK226" s="399">
        <v>152999.32</v>
      </c>
      <c r="BL226" s="399">
        <v>525</v>
      </c>
      <c r="BM226" s="399"/>
      <c r="BN226" s="399"/>
      <c r="BO226" s="399"/>
      <c r="BP226" s="399"/>
      <c r="BQ226" s="399"/>
      <c r="BR226" s="399">
        <v>22524.175000000003</v>
      </c>
      <c r="BS226" s="399"/>
      <c r="BT226" s="399"/>
      <c r="BU226" s="399"/>
      <c r="BV226" s="399">
        <v>57658.928730065112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165178.35689999998</v>
      </c>
      <c r="CJ226" s="399">
        <v>-46154.201850000041</v>
      </c>
      <c r="CK226" s="399"/>
      <c r="CL226" s="399"/>
      <c r="CM226" s="399"/>
      <c r="CN226" s="399"/>
      <c r="CO226" s="399">
        <v>-52453.806250000009</v>
      </c>
      <c r="CP226" s="399">
        <v>0</v>
      </c>
      <c r="CQ226" s="399">
        <v>31</v>
      </c>
      <c r="CR226" s="399">
        <v>-1613.5338912224252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-185.49738433639141</v>
      </c>
      <c r="DA226" s="399">
        <v>0</v>
      </c>
      <c r="DB226" s="399">
        <v>0</v>
      </c>
      <c r="DC226" s="399">
        <v>0</v>
      </c>
      <c r="DD226" s="399">
        <v>0</v>
      </c>
      <c r="DE226" s="399">
        <v>0</v>
      </c>
      <c r="DF226" s="399">
        <v>0</v>
      </c>
      <c r="DG226" s="399">
        <v>0</v>
      </c>
      <c r="DH226" s="399">
        <v>0</v>
      </c>
      <c r="DI226" s="399">
        <v>-1238.0209032781167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-169.76466817103574</v>
      </c>
      <c r="DP226" s="399">
        <v>-20.250935436882685</v>
      </c>
      <c r="DQ226" s="399">
        <v>0</v>
      </c>
      <c r="DR226" s="399">
        <v>0</v>
      </c>
      <c r="DS226" s="399"/>
      <c r="DT226" s="399"/>
      <c r="DU226" s="399"/>
      <c r="DV226" s="399">
        <v>117672.80658796775</v>
      </c>
      <c r="DW226" s="399">
        <v>0</v>
      </c>
      <c r="DX226" s="399">
        <v>0</v>
      </c>
      <c r="DY226" s="399">
        <v>-52453.806249999994</v>
      </c>
      <c r="DZ226" s="399">
        <v>0</v>
      </c>
      <c r="EA226" s="399">
        <v>0</v>
      </c>
      <c r="EB226" s="399">
        <v>0</v>
      </c>
      <c r="EC226" s="399">
        <v>-50836.933430066114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218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956</v>
      </c>
      <c r="C227" s="399" t="s">
        <v>2334</v>
      </c>
      <c r="D227" s="399" t="s">
        <v>533</v>
      </c>
      <c r="E227" s="399" t="s">
        <v>894</v>
      </c>
      <c r="F227" s="399" t="s">
        <v>1239</v>
      </c>
      <c r="G227" s="399" t="s">
        <v>1239</v>
      </c>
      <c r="H227" s="399" t="s">
        <v>1239</v>
      </c>
      <c r="I227" s="399" t="s">
        <v>893</v>
      </c>
      <c r="J227" s="399" t="s">
        <v>2329</v>
      </c>
      <c r="K227" s="789">
        <v>44562</v>
      </c>
      <c r="L227" s="399">
        <v>0</v>
      </c>
      <c r="M227" s="399">
        <v>0</v>
      </c>
      <c r="N227" s="399">
        <v>2.1789999999999998</v>
      </c>
      <c r="O227" s="399">
        <v>2.0918399999999999</v>
      </c>
      <c r="P227" s="399">
        <v>2.1789999999999998</v>
      </c>
      <c r="Q227" s="399">
        <v>2.0918399999999999</v>
      </c>
      <c r="R227" s="399"/>
      <c r="S227" s="399">
        <v>2741.05</v>
      </c>
      <c r="T227" s="399">
        <v>141.32</v>
      </c>
      <c r="U227" s="399"/>
      <c r="V227" s="399">
        <v>6280.6842299999998</v>
      </c>
      <c r="W227" s="399">
        <v>6280.6842299999998</v>
      </c>
      <c r="X227" s="399">
        <v>4497.1945199999991</v>
      </c>
      <c r="Y227" s="399">
        <v>0</v>
      </c>
      <c r="Z227" s="399">
        <v>115.02728976624807</v>
      </c>
      <c r="AA227" s="399">
        <v>0</v>
      </c>
      <c r="AB227" s="399">
        <v>0</v>
      </c>
      <c r="AC227" s="399">
        <v>0</v>
      </c>
      <c r="AD227" s="399">
        <v>1729.1704630199422</v>
      </c>
      <c r="AE227" s="399">
        <v>4091.7452367946917</v>
      </c>
      <c r="AF227" s="399">
        <v>307.9339485396975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20.443361328410599</v>
      </c>
      <c r="AM227" s="399"/>
      <c r="AN227" s="399">
        <v>1.3090177166920189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15.063336407767739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>
        <v>179.8877807999998</v>
      </c>
      <c r="BS227" s="399"/>
      <c r="BT227" s="399"/>
      <c r="BU227" s="399"/>
      <c r="BV227" s="399">
        <v>322.99728494746523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4313.5091999999995</v>
      </c>
      <c r="CJ227" s="399">
        <v>-1715.977660800002</v>
      </c>
      <c r="CK227" s="399"/>
      <c r="CL227" s="399"/>
      <c r="CM227" s="399"/>
      <c r="CN227" s="399"/>
      <c r="CO227" s="399">
        <v>-1783.4897100000003</v>
      </c>
      <c r="CP227" s="399">
        <v>0</v>
      </c>
      <c r="CQ227" s="399">
        <v>31</v>
      </c>
      <c r="CR227" s="399">
        <v>-15.790885693822929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-8.2355256140237998</v>
      </c>
      <c r="DA227" s="399">
        <v>0</v>
      </c>
      <c r="DB227" s="399">
        <v>0</v>
      </c>
      <c r="DC227" s="399">
        <v>0</v>
      </c>
      <c r="DD227" s="399">
        <v>0</v>
      </c>
      <c r="DE227" s="399">
        <v>0</v>
      </c>
      <c r="DF227" s="399">
        <v>0</v>
      </c>
      <c r="DG227" s="399">
        <v>0</v>
      </c>
      <c r="DH227" s="399">
        <v>0</v>
      </c>
      <c r="DI227" s="399">
        <v>-6.4810586592240327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-1.0215180171064908</v>
      </c>
      <c r="DP227" s="399">
        <v>-5.2783403468801504E-2</v>
      </c>
      <c r="DQ227" s="399">
        <v>0</v>
      </c>
      <c r="DR227" s="399">
        <v>0</v>
      </c>
      <c r="DS227" s="399"/>
      <c r="DT227" s="399"/>
      <c r="DU227" s="399"/>
      <c r="DV227" s="399">
        <v>4091.7452367946917</v>
      </c>
      <c r="DW227" s="399">
        <v>0</v>
      </c>
      <c r="DX227" s="399">
        <v>0</v>
      </c>
      <c r="DY227" s="399">
        <v>-1783.4897100000007</v>
      </c>
      <c r="DZ227" s="399">
        <v>0</v>
      </c>
      <c r="EA227" s="399">
        <v>0</v>
      </c>
      <c r="EB227" s="399">
        <v>0</v>
      </c>
      <c r="EC227" s="399">
        <v>-1767.7132571850484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218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2361</v>
      </c>
      <c r="C228" s="399" t="s">
        <v>2334</v>
      </c>
      <c r="D228" s="399" t="s">
        <v>533</v>
      </c>
      <c r="E228" s="399" t="s">
        <v>894</v>
      </c>
      <c r="F228" s="399" t="s">
        <v>1239</v>
      </c>
      <c r="G228" s="399" t="s">
        <v>1239</v>
      </c>
      <c r="H228" s="399" t="s">
        <v>1239</v>
      </c>
      <c r="I228" s="399" t="s">
        <v>893</v>
      </c>
      <c r="J228" s="399" t="s">
        <v>2329</v>
      </c>
      <c r="K228" s="789">
        <v>44562</v>
      </c>
      <c r="L228" s="399">
        <v>0</v>
      </c>
      <c r="M228" s="399">
        <v>0</v>
      </c>
      <c r="N228" s="399">
        <v>2.5579999999999998</v>
      </c>
      <c r="O228" s="399">
        <v>2.4556800000000001</v>
      </c>
      <c r="P228" s="399">
        <v>2.5579999999999998</v>
      </c>
      <c r="Q228" s="399">
        <v>2.4556800000000001</v>
      </c>
      <c r="R228" s="399"/>
      <c r="S228" s="399">
        <v>2741.05</v>
      </c>
      <c r="T228" s="399">
        <v>141.32</v>
      </c>
      <c r="U228" s="399"/>
      <c r="V228" s="399">
        <v>7373.1024599999992</v>
      </c>
      <c r="W228" s="399">
        <v>7373.1024599999992</v>
      </c>
      <c r="X228" s="399">
        <v>5279.4050399999987</v>
      </c>
      <c r="Y228" s="399">
        <v>0</v>
      </c>
      <c r="Z228" s="399">
        <v>135.0343309876377</v>
      </c>
      <c r="AA228" s="399">
        <v>0</v>
      </c>
      <c r="AB228" s="399">
        <v>0</v>
      </c>
      <c r="AC228" s="399">
        <v>0</v>
      </c>
      <c r="AD228" s="399">
        <v>2029.9302636094596</v>
      </c>
      <c r="AE228" s="399">
        <v>4803.4347479214412</v>
      </c>
      <c r="AF228" s="399">
        <v>361.49382302182022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23.999136428671093</v>
      </c>
      <c r="AM228" s="399"/>
      <c r="AN228" s="399">
        <v>1.5366990910042151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17.683347650789297</v>
      </c>
      <c r="BH228" s="399">
        <v>0</v>
      </c>
      <c r="BI228" s="399">
        <v>0</v>
      </c>
      <c r="BJ228" s="399">
        <v>0</v>
      </c>
      <c r="BK228" s="399">
        <v>0</v>
      </c>
      <c r="BL228" s="399">
        <v>0</v>
      </c>
      <c r="BM228" s="399"/>
      <c r="BN228" s="399"/>
      <c r="BO228" s="399"/>
      <c r="BP228" s="399"/>
      <c r="BQ228" s="399"/>
      <c r="BR228" s="399">
        <v>211.17620159999947</v>
      </c>
      <c r="BS228" s="399"/>
      <c r="BT228" s="399"/>
      <c r="BU228" s="399"/>
      <c r="BV228" s="399">
        <v>379.17717067260952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5077.1448</v>
      </c>
      <c r="CJ228" s="399">
        <v>-2001.0635616000009</v>
      </c>
      <c r="CK228" s="399"/>
      <c r="CL228" s="399"/>
      <c r="CM228" s="399"/>
      <c r="CN228" s="399"/>
      <c r="CO228" s="399">
        <v>-2093.6974200000004</v>
      </c>
      <c r="CP228" s="399">
        <v>0</v>
      </c>
      <c r="CQ228" s="399">
        <v>31</v>
      </c>
      <c r="CR228" s="399">
        <v>-18.537441764479354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-9.6679552641915052</v>
      </c>
      <c r="DA228" s="399">
        <v>0</v>
      </c>
      <c r="DB228" s="399">
        <v>0</v>
      </c>
      <c r="DC228" s="399">
        <v>0</v>
      </c>
      <c r="DD228" s="399">
        <v>0</v>
      </c>
      <c r="DE228" s="399">
        <v>0</v>
      </c>
      <c r="DF228" s="399">
        <v>0</v>
      </c>
      <c r="DG228" s="399">
        <v>0</v>
      </c>
      <c r="DH228" s="399">
        <v>0</v>
      </c>
      <c r="DI228" s="399">
        <v>-7.6083286141785464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-1.1991937070942633</v>
      </c>
      <c r="DP228" s="399">
        <v>-6.196417901477469E-2</v>
      </c>
      <c r="DQ228" s="399">
        <v>0</v>
      </c>
      <c r="DR228" s="399">
        <v>0</v>
      </c>
      <c r="DS228" s="399"/>
      <c r="DT228" s="399"/>
      <c r="DU228" s="399"/>
      <c r="DV228" s="399">
        <v>4803.4347479214412</v>
      </c>
      <c r="DW228" s="399">
        <v>0</v>
      </c>
      <c r="DX228" s="399">
        <v>0</v>
      </c>
      <c r="DY228" s="399">
        <v>-2093.6974200000004</v>
      </c>
      <c r="DZ228" s="399">
        <v>0</v>
      </c>
      <c r="EA228" s="399">
        <v>0</v>
      </c>
      <c r="EB228" s="399">
        <v>0</v>
      </c>
      <c r="EC228" s="399">
        <v>-2075.1769214682668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218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956</v>
      </c>
      <c r="C229" s="399" t="s">
        <v>2334</v>
      </c>
      <c r="D229" s="399" t="s">
        <v>533</v>
      </c>
      <c r="E229" s="399" t="s">
        <v>894</v>
      </c>
      <c r="F229" s="399" t="s">
        <v>1239</v>
      </c>
      <c r="G229" s="399" t="s">
        <v>1239</v>
      </c>
      <c r="H229" s="399" t="s">
        <v>1239</v>
      </c>
      <c r="I229" s="399" t="s">
        <v>2326</v>
      </c>
      <c r="J229" s="399" t="s">
        <v>2329</v>
      </c>
      <c r="K229" s="789">
        <v>44562</v>
      </c>
      <c r="L229" s="399">
        <v>0</v>
      </c>
      <c r="M229" s="399">
        <v>0</v>
      </c>
      <c r="N229" s="399">
        <v>23.11</v>
      </c>
      <c r="O229" s="399">
        <v>22.185600000000001</v>
      </c>
      <c r="P229" s="399">
        <v>23.11</v>
      </c>
      <c r="Q229" s="399">
        <v>22.185600000000001</v>
      </c>
      <c r="R229" s="399"/>
      <c r="S229" s="399">
        <v>69.680000000000007</v>
      </c>
      <c r="T229" s="399">
        <v>141.32</v>
      </c>
      <c r="U229" s="399"/>
      <c r="V229" s="399">
        <v>4876.21</v>
      </c>
      <c r="W229" s="399">
        <v>4876.21</v>
      </c>
      <c r="X229" s="399">
        <v>4796.2493999999997</v>
      </c>
      <c r="Y229" s="399">
        <v>0</v>
      </c>
      <c r="Z229" s="399">
        <v>1219.9544132620435</v>
      </c>
      <c r="AA229" s="399">
        <v>0</v>
      </c>
      <c r="AB229" s="399">
        <v>0</v>
      </c>
      <c r="AC229" s="399">
        <v>0</v>
      </c>
      <c r="AD229" s="399">
        <v>0</v>
      </c>
      <c r="AE229" s="399">
        <v>0</v>
      </c>
      <c r="AF229" s="399">
        <v>3265.8804730391967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216.81784318474939</v>
      </c>
      <c r="AM229" s="399"/>
      <c r="AN229" s="399">
        <v>13.88315715133206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159.75846919849127</v>
      </c>
      <c r="BH229" s="399">
        <v>0</v>
      </c>
      <c r="BI229" s="399">
        <v>0</v>
      </c>
      <c r="BJ229" s="399">
        <v>0</v>
      </c>
      <c r="BK229" s="399">
        <v>0</v>
      </c>
      <c r="BL229" s="399">
        <v>0</v>
      </c>
      <c r="BM229" s="399"/>
      <c r="BN229" s="399"/>
      <c r="BO229" s="399"/>
      <c r="BP229" s="399"/>
      <c r="BQ229" s="399"/>
      <c r="BR229" s="399">
        <v>191.84997599999969</v>
      </c>
      <c r="BS229" s="399"/>
      <c r="BT229" s="399"/>
      <c r="BU229" s="399"/>
      <c r="BV229" s="399">
        <v>3425.6389422376878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4605.3126000000002</v>
      </c>
      <c r="CJ229" s="399">
        <v>-75.878999999999905</v>
      </c>
      <c r="CK229" s="399"/>
      <c r="CL229" s="399"/>
      <c r="CM229" s="399"/>
      <c r="CN229" s="399"/>
      <c r="CO229" s="399">
        <v>-79.960600000000184</v>
      </c>
      <c r="CP229" s="399">
        <v>0</v>
      </c>
      <c r="CQ229" s="399">
        <v>31</v>
      </c>
      <c r="CR229" s="399">
        <v>-80.130505481487489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0</v>
      </c>
      <c r="DA229" s="399">
        <v>0</v>
      </c>
      <c r="DB229" s="399">
        <v>0</v>
      </c>
      <c r="DC229" s="399">
        <v>0</v>
      </c>
      <c r="DD229" s="399">
        <v>0</v>
      </c>
      <c r="DE229" s="399">
        <v>0</v>
      </c>
      <c r="DF229" s="399">
        <v>0</v>
      </c>
      <c r="DG229" s="399">
        <v>0</v>
      </c>
      <c r="DH229" s="399">
        <v>0</v>
      </c>
      <c r="DI229" s="399">
        <v>-68.73669830870449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-10.8339978776186</v>
      </c>
      <c r="DP229" s="399">
        <v>-0.55980929516475442</v>
      </c>
      <c r="DQ229" s="399">
        <v>0</v>
      </c>
      <c r="DR229" s="399">
        <v>0</v>
      </c>
      <c r="DS229" s="399"/>
      <c r="DT229" s="399"/>
      <c r="DU229" s="399"/>
      <c r="DV229" s="399">
        <v>0</v>
      </c>
      <c r="DW229" s="399">
        <v>0</v>
      </c>
      <c r="DX229" s="399">
        <v>0</v>
      </c>
      <c r="DY229" s="399">
        <v>-79.960600000000113</v>
      </c>
      <c r="DZ229" s="399">
        <v>0</v>
      </c>
      <c r="EA229" s="399">
        <v>0</v>
      </c>
      <c r="EB229" s="399">
        <v>0</v>
      </c>
      <c r="EC229" s="399">
        <v>0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218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2361</v>
      </c>
      <c r="C230" s="399" t="s">
        <v>2334</v>
      </c>
      <c r="D230" s="399" t="s">
        <v>533</v>
      </c>
      <c r="E230" s="399" t="s">
        <v>894</v>
      </c>
      <c r="F230" s="399" t="s">
        <v>1239</v>
      </c>
      <c r="G230" s="399" t="s">
        <v>1239</v>
      </c>
      <c r="H230" s="399" t="s">
        <v>1239</v>
      </c>
      <c r="I230" s="399" t="s">
        <v>2326</v>
      </c>
      <c r="J230" s="399" t="s">
        <v>2329</v>
      </c>
      <c r="K230" s="789">
        <v>44562</v>
      </c>
      <c r="L230" s="399">
        <v>0</v>
      </c>
      <c r="M230" s="399">
        <v>0</v>
      </c>
      <c r="N230" s="399">
        <v>38.734999999999999</v>
      </c>
      <c r="O230" s="399">
        <v>37.185600000000001</v>
      </c>
      <c r="P230" s="399">
        <v>38.734999999999999</v>
      </c>
      <c r="Q230" s="399">
        <v>37.185600000000001</v>
      </c>
      <c r="R230" s="399"/>
      <c r="S230" s="399">
        <v>69.680000000000007</v>
      </c>
      <c r="T230" s="399">
        <v>141.32</v>
      </c>
      <c r="U230" s="399"/>
      <c r="V230" s="399">
        <v>8173.0849999999991</v>
      </c>
      <c r="W230" s="399">
        <v>8173.0849999999991</v>
      </c>
      <c r="X230" s="399">
        <v>8039.0618999999988</v>
      </c>
      <c r="Y230" s="399">
        <v>0</v>
      </c>
      <c r="Z230" s="399">
        <v>2044.7829596583842</v>
      </c>
      <c r="AA230" s="399">
        <v>0</v>
      </c>
      <c r="AB230" s="399">
        <v>0</v>
      </c>
      <c r="AC230" s="399">
        <v>0</v>
      </c>
      <c r="AD230" s="399">
        <v>0</v>
      </c>
      <c r="AE230" s="399">
        <v>0</v>
      </c>
      <c r="AF230" s="399">
        <v>5473.9887547889784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363.4114736374413</v>
      </c>
      <c r="AM230" s="399"/>
      <c r="AN230" s="399">
        <v>23.269757345601359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267.773444586913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>
        <v>321.56247599999966</v>
      </c>
      <c r="BS230" s="399"/>
      <c r="BT230" s="399"/>
      <c r="BU230" s="399"/>
      <c r="BV230" s="399">
        <v>5741.7621993758912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7718.4125999999997</v>
      </c>
      <c r="CJ230" s="399">
        <v>-127.77900000000045</v>
      </c>
      <c r="CK230" s="399"/>
      <c r="CL230" s="399"/>
      <c r="CM230" s="399"/>
      <c r="CN230" s="399"/>
      <c r="CO230" s="399">
        <v>-134.02310000000031</v>
      </c>
      <c r="CP230" s="399">
        <v>0</v>
      </c>
      <c r="CQ230" s="399">
        <v>31</v>
      </c>
      <c r="CR230" s="399">
        <v>-134.30788099634174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</v>
      </c>
      <c r="DA230" s="399">
        <v>0</v>
      </c>
      <c r="DB230" s="399">
        <v>0</v>
      </c>
      <c r="DC230" s="399">
        <v>0</v>
      </c>
      <c r="DD230" s="399">
        <v>0</v>
      </c>
      <c r="DE230" s="399">
        <v>0</v>
      </c>
      <c r="DF230" s="399">
        <v>0</v>
      </c>
      <c r="DG230" s="399">
        <v>0</v>
      </c>
      <c r="DH230" s="399">
        <v>0</v>
      </c>
      <c r="DI230" s="399">
        <v>-115.21055858882187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-18.159018078301926</v>
      </c>
      <c r="DP230" s="399">
        <v>-0.93830432921708606</v>
      </c>
      <c r="DQ230" s="399">
        <v>0</v>
      </c>
      <c r="DR230" s="399">
        <v>0</v>
      </c>
      <c r="DS230" s="399"/>
      <c r="DT230" s="399"/>
      <c r="DU230" s="399"/>
      <c r="DV230" s="399">
        <v>0</v>
      </c>
      <c r="DW230" s="399">
        <v>0</v>
      </c>
      <c r="DX230" s="399">
        <v>0</v>
      </c>
      <c r="DY230" s="399">
        <v>-134.02310000000034</v>
      </c>
      <c r="DZ230" s="399">
        <v>0</v>
      </c>
      <c r="EA230" s="399">
        <v>0</v>
      </c>
      <c r="EB230" s="399">
        <v>0</v>
      </c>
      <c r="EC230" s="399">
        <v>0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218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956</v>
      </c>
      <c r="C231" s="399" t="s">
        <v>2334</v>
      </c>
      <c r="D231" s="399" t="s">
        <v>533</v>
      </c>
      <c r="E231" s="399" t="s">
        <v>894</v>
      </c>
      <c r="F231" s="399" t="s">
        <v>1239</v>
      </c>
      <c r="G231" s="399" t="s">
        <v>1239</v>
      </c>
      <c r="H231" s="399" t="s">
        <v>1239</v>
      </c>
      <c r="I231" s="399" t="s">
        <v>1239</v>
      </c>
      <c r="J231" s="399" t="s">
        <v>2329</v>
      </c>
      <c r="K231" s="789">
        <v>44562</v>
      </c>
      <c r="L231" s="399">
        <v>90</v>
      </c>
      <c r="M231" s="399">
        <v>86.4</v>
      </c>
      <c r="N231" s="399">
        <v>0</v>
      </c>
      <c r="O231" s="399">
        <v>0</v>
      </c>
      <c r="P231" s="399">
        <v>0</v>
      </c>
      <c r="Q231" s="399">
        <v>0</v>
      </c>
      <c r="R231" s="399">
        <v>35.15</v>
      </c>
      <c r="S231" s="399"/>
      <c r="T231" s="399"/>
      <c r="U231" s="399">
        <v>3163.5</v>
      </c>
      <c r="V231" s="399"/>
      <c r="W231" s="399">
        <v>3163.5</v>
      </c>
      <c r="X231" s="399">
        <v>2309.4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1199.8235963272409</v>
      </c>
      <c r="AE231" s="399">
        <v>1963.6179499154971</v>
      </c>
      <c r="AF231" s="399"/>
      <c r="AG231" s="399"/>
      <c r="AH231" s="399"/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0</v>
      </c>
      <c r="AO231" s="399">
        <v>0</v>
      </c>
      <c r="AP231" s="399">
        <v>0</v>
      </c>
      <c r="AQ231" s="399">
        <v>0</v>
      </c>
      <c r="AR231" s="399">
        <v>0</v>
      </c>
      <c r="AS231" s="399"/>
      <c r="AT231" s="399"/>
      <c r="AU231" s="399">
        <v>0</v>
      </c>
      <c r="AV231" s="399">
        <v>0</v>
      </c>
      <c r="AW231" s="399">
        <v>0</v>
      </c>
      <c r="AX231" s="399"/>
      <c r="AY231" s="399"/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/>
      <c r="BG231" s="399">
        <v>0</v>
      </c>
      <c r="BH231" s="399">
        <v>0</v>
      </c>
      <c r="BI231" s="399">
        <v>102.5</v>
      </c>
      <c r="BJ231" s="399">
        <v>473.08</v>
      </c>
      <c r="BK231" s="399">
        <v>5131.97</v>
      </c>
      <c r="BL231" s="399">
        <v>1</v>
      </c>
      <c r="BM231" s="399"/>
      <c r="BN231" s="399"/>
      <c r="BO231" s="399"/>
      <c r="BP231" s="399"/>
      <c r="BQ231" s="399"/>
      <c r="BR231" s="399">
        <v>92.375999999999848</v>
      </c>
      <c r="BS231" s="399"/>
      <c r="BT231" s="399"/>
      <c r="BU231" s="399"/>
      <c r="BV231" s="399">
        <v>0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2217.0240000000003</v>
      </c>
      <c r="CJ231" s="399">
        <v>-819.96600000000035</v>
      </c>
      <c r="CK231" s="399"/>
      <c r="CL231" s="399"/>
      <c r="CM231" s="399"/>
      <c r="CN231" s="399"/>
      <c r="CO231" s="399">
        <v>-854.09999999999991</v>
      </c>
      <c r="CP231" s="399">
        <v>0</v>
      </c>
      <c r="CQ231" s="399">
        <v>31</v>
      </c>
      <c r="CR231" s="399">
        <v>-5.7144036236848024</v>
      </c>
      <c r="CS231" s="399">
        <v>0</v>
      </c>
      <c r="CT231" s="399">
        <v>0</v>
      </c>
      <c r="CU231" s="399">
        <v>0</v>
      </c>
      <c r="CV231" s="399">
        <v>0</v>
      </c>
      <c r="CW231" s="399"/>
      <c r="CX231" s="399"/>
      <c r="CY231" s="399"/>
      <c r="CZ231" s="399">
        <v>-5.7144036236848024</v>
      </c>
      <c r="DA231" s="399">
        <v>0</v>
      </c>
      <c r="DB231" s="399">
        <v>0</v>
      </c>
      <c r="DC231" s="399"/>
      <c r="DD231" s="399"/>
      <c r="DE231" s="399">
        <v>0</v>
      </c>
      <c r="DF231" s="399">
        <v>0</v>
      </c>
      <c r="DG231" s="399">
        <v>0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/>
      <c r="DN231" s="399">
        <v>0</v>
      </c>
      <c r="DO231" s="399">
        <v>0</v>
      </c>
      <c r="DP231" s="399">
        <v>0</v>
      </c>
      <c r="DQ231" s="399">
        <v>0</v>
      </c>
      <c r="DR231" s="399">
        <v>0</v>
      </c>
      <c r="DS231" s="399"/>
      <c r="DT231" s="399"/>
      <c r="DU231" s="399">
        <v>1963.6179499154971</v>
      </c>
      <c r="DV231" s="399"/>
      <c r="DW231" s="399">
        <v>0</v>
      </c>
      <c r="DX231" s="399">
        <v>0</v>
      </c>
      <c r="DY231" s="399">
        <v>-854.09999999999991</v>
      </c>
      <c r="DZ231" s="399"/>
      <c r="EA231" s="399">
        <v>0</v>
      </c>
      <c r="EB231" s="399"/>
      <c r="EC231" s="399">
        <v>-848.32101737381709</v>
      </c>
      <c r="ED231" s="399"/>
      <c r="EE231" s="399">
        <v>0</v>
      </c>
      <c r="EF231" s="399">
        <v>0</v>
      </c>
      <c r="EG231" s="399"/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/>
      <c r="EN231" s="399"/>
      <c r="EO231" s="399">
        <v>0</v>
      </c>
      <c r="EP231" s="399">
        <v>0</v>
      </c>
      <c r="EQ231" s="399"/>
      <c r="ER231" s="399">
        <v>0</v>
      </c>
      <c r="ES231" s="399"/>
      <c r="ET231" s="399">
        <v>0</v>
      </c>
      <c r="EU231" s="399"/>
      <c r="EV231" s="399">
        <v>218</v>
      </c>
      <c r="EW231" s="399"/>
      <c r="EX231" s="399"/>
      <c r="EY231" s="399"/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2361</v>
      </c>
      <c r="C232" s="399" t="s">
        <v>2334</v>
      </c>
      <c r="D232" s="399" t="s">
        <v>533</v>
      </c>
      <c r="E232" s="399" t="s">
        <v>894</v>
      </c>
      <c r="F232" s="399" t="s">
        <v>1239</v>
      </c>
      <c r="G232" s="399" t="s">
        <v>1239</v>
      </c>
      <c r="H232" s="399" t="s">
        <v>1239</v>
      </c>
      <c r="I232" s="399" t="s">
        <v>1239</v>
      </c>
      <c r="J232" s="399" t="s">
        <v>2329</v>
      </c>
      <c r="K232" s="789">
        <v>44562</v>
      </c>
      <c r="L232" s="399">
        <v>255</v>
      </c>
      <c r="M232" s="399">
        <v>244.8</v>
      </c>
      <c r="N232" s="399">
        <v>0</v>
      </c>
      <c r="O232" s="399">
        <v>0</v>
      </c>
      <c r="P232" s="399">
        <v>0</v>
      </c>
      <c r="Q232" s="399">
        <v>0</v>
      </c>
      <c r="R232" s="399">
        <v>35.15</v>
      </c>
      <c r="S232" s="399"/>
      <c r="T232" s="399"/>
      <c r="U232" s="399">
        <v>8963.25</v>
      </c>
      <c r="V232" s="399"/>
      <c r="W232" s="399">
        <v>8963.25</v>
      </c>
      <c r="X232" s="399">
        <v>6543.3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3399.5001895938494</v>
      </c>
      <c r="AE232" s="399">
        <v>5563.5841914272414</v>
      </c>
      <c r="AF232" s="399"/>
      <c r="AG232" s="399"/>
      <c r="AH232" s="399"/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0</v>
      </c>
      <c r="AO232" s="399">
        <v>0</v>
      </c>
      <c r="AP232" s="399">
        <v>0</v>
      </c>
      <c r="AQ232" s="399">
        <v>0</v>
      </c>
      <c r="AR232" s="399">
        <v>0</v>
      </c>
      <c r="AS232" s="399"/>
      <c r="AT232" s="399"/>
      <c r="AU232" s="399">
        <v>0</v>
      </c>
      <c r="AV232" s="399">
        <v>0</v>
      </c>
      <c r="AW232" s="399">
        <v>0</v>
      </c>
      <c r="AX232" s="399"/>
      <c r="AY232" s="399"/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/>
      <c r="BG232" s="399">
        <v>0</v>
      </c>
      <c r="BH232" s="399">
        <v>0</v>
      </c>
      <c r="BI232" s="399">
        <v>183.25</v>
      </c>
      <c r="BJ232" s="399">
        <v>845.81</v>
      </c>
      <c r="BK232" s="399">
        <v>9368.84</v>
      </c>
      <c r="BL232" s="399">
        <v>2</v>
      </c>
      <c r="BM232" s="399"/>
      <c r="BN232" s="399"/>
      <c r="BO232" s="399"/>
      <c r="BP232" s="399"/>
      <c r="BQ232" s="399"/>
      <c r="BR232" s="399">
        <v>261.73199999999969</v>
      </c>
      <c r="BS232" s="399"/>
      <c r="BT232" s="399"/>
      <c r="BU232" s="399"/>
      <c r="BV232" s="399">
        <v>0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6281.5680000000002</v>
      </c>
      <c r="CJ232" s="399">
        <v>-2323.1819999999998</v>
      </c>
      <c r="CK232" s="399"/>
      <c r="CL232" s="399"/>
      <c r="CM232" s="399"/>
      <c r="CN232" s="399"/>
      <c r="CO232" s="399">
        <v>-2419.9499999999998</v>
      </c>
      <c r="CP232" s="399">
        <v>0</v>
      </c>
      <c r="CQ232" s="399">
        <v>31</v>
      </c>
      <c r="CR232" s="399">
        <v>-16.190810267107281</v>
      </c>
      <c r="CS232" s="399">
        <v>0</v>
      </c>
      <c r="CT232" s="399">
        <v>0</v>
      </c>
      <c r="CU232" s="399">
        <v>0</v>
      </c>
      <c r="CV232" s="399">
        <v>0</v>
      </c>
      <c r="CW232" s="399"/>
      <c r="CX232" s="399"/>
      <c r="CY232" s="399"/>
      <c r="CZ232" s="399">
        <v>-16.190810267107281</v>
      </c>
      <c r="DA232" s="399">
        <v>0</v>
      </c>
      <c r="DB232" s="399">
        <v>0</v>
      </c>
      <c r="DC232" s="399"/>
      <c r="DD232" s="399"/>
      <c r="DE232" s="399">
        <v>0</v>
      </c>
      <c r="DF232" s="399">
        <v>0</v>
      </c>
      <c r="DG232" s="399">
        <v>0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/>
      <c r="DN232" s="399">
        <v>0</v>
      </c>
      <c r="DO232" s="399">
        <v>0</v>
      </c>
      <c r="DP232" s="399">
        <v>0</v>
      </c>
      <c r="DQ232" s="399">
        <v>0</v>
      </c>
      <c r="DR232" s="399">
        <v>0</v>
      </c>
      <c r="DS232" s="399"/>
      <c r="DT232" s="399"/>
      <c r="DU232" s="399">
        <v>5563.5841914272414</v>
      </c>
      <c r="DV232" s="399"/>
      <c r="DW232" s="399">
        <v>0</v>
      </c>
      <c r="DX232" s="399">
        <v>0</v>
      </c>
      <c r="DY232" s="399">
        <v>-2419.9499999999998</v>
      </c>
      <c r="DZ232" s="399"/>
      <c r="EA232" s="399">
        <v>0</v>
      </c>
      <c r="EB232" s="399"/>
      <c r="EC232" s="399">
        <v>-2403.5762158924817</v>
      </c>
      <c r="ED232" s="399"/>
      <c r="EE232" s="399">
        <v>0</v>
      </c>
      <c r="EF232" s="399">
        <v>0</v>
      </c>
      <c r="EG232" s="399"/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/>
      <c r="EN232" s="399"/>
      <c r="EO232" s="399">
        <v>0</v>
      </c>
      <c r="EP232" s="399">
        <v>0</v>
      </c>
      <c r="EQ232" s="399"/>
      <c r="ER232" s="399">
        <v>0</v>
      </c>
      <c r="ES232" s="399"/>
      <c r="ET232" s="399">
        <v>0</v>
      </c>
      <c r="EU232" s="399"/>
      <c r="EV232" s="399">
        <v>218</v>
      </c>
      <c r="EW232" s="399"/>
      <c r="EX232" s="399"/>
      <c r="EY232" s="399"/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956</v>
      </c>
      <c r="C233" s="399" t="s">
        <v>2328</v>
      </c>
      <c r="D233" s="399" t="s">
        <v>1826</v>
      </c>
      <c r="E233" s="399" t="s">
        <v>2336</v>
      </c>
      <c r="F233" s="399" t="s">
        <v>1239</v>
      </c>
      <c r="G233" s="399" t="s">
        <v>1239</v>
      </c>
      <c r="H233" s="399" t="s">
        <v>1239</v>
      </c>
      <c r="I233" s="399" t="s">
        <v>1239</v>
      </c>
      <c r="J233" s="399" t="s">
        <v>2329</v>
      </c>
      <c r="K233" s="789">
        <v>44562</v>
      </c>
      <c r="L233" s="399">
        <v>0</v>
      </c>
      <c r="M233" s="399">
        <v>0</v>
      </c>
      <c r="N233" s="399">
        <v>132.499</v>
      </c>
      <c r="O233" s="399">
        <v>132.499</v>
      </c>
      <c r="P233" s="399">
        <v>132.499</v>
      </c>
      <c r="Q233" s="399">
        <v>132.499</v>
      </c>
      <c r="R233" s="399"/>
      <c r="S233" s="399">
        <v>521.86</v>
      </c>
      <c r="T233" s="399">
        <v>141.32</v>
      </c>
      <c r="U233" s="399"/>
      <c r="V233" s="399">
        <v>87870.686820000003</v>
      </c>
      <c r="W233" s="399">
        <v>87870.686820000003</v>
      </c>
      <c r="X233" s="399">
        <v>68678.20667</v>
      </c>
      <c r="Y233" s="399">
        <v>0</v>
      </c>
      <c r="Z233" s="399">
        <v>8039.6474533494229</v>
      </c>
      <c r="AA233" s="399">
        <v>0</v>
      </c>
      <c r="AB233" s="399">
        <v>0</v>
      </c>
      <c r="AC233" s="399">
        <v>0</v>
      </c>
      <c r="AD233" s="399">
        <v>14250.771240778931</v>
      </c>
      <c r="AE233" s="399">
        <v>43055.655367895444</v>
      </c>
      <c r="AF233" s="399">
        <v>18724.616910308116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1243.1046042464782</v>
      </c>
      <c r="AM233" s="399"/>
      <c r="AN233" s="399">
        <v>183.75844869385338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2372.3810815590518</v>
      </c>
      <c r="BH233" s="399">
        <v>0</v>
      </c>
      <c r="BI233" s="399">
        <v>589.49</v>
      </c>
      <c r="BJ233" s="399">
        <v>2724.11</v>
      </c>
      <c r="BK233" s="399">
        <v>25712.15</v>
      </c>
      <c r="BL233" s="399">
        <v>161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21096.997991867167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68678.724999999991</v>
      </c>
      <c r="CJ233" s="399">
        <v>-19191.991819999996</v>
      </c>
      <c r="CK233" s="399"/>
      <c r="CL233" s="399"/>
      <c r="CM233" s="399"/>
      <c r="CN233" s="399"/>
      <c r="CO233" s="399">
        <v>-19192.480150000003</v>
      </c>
      <c r="CP233" s="399">
        <v>0</v>
      </c>
      <c r="CQ233" s="399">
        <v>31</v>
      </c>
      <c r="CR233" s="399">
        <v>-590.38074436473107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-67.8721931023465</v>
      </c>
      <c r="DA233" s="399">
        <v>0</v>
      </c>
      <c r="DB233" s="399">
        <v>0</v>
      </c>
      <c r="DC233" s="399">
        <v>0</v>
      </c>
      <c r="DD233" s="399">
        <v>0</v>
      </c>
      <c r="DE233" s="399">
        <v>0</v>
      </c>
      <c r="DF233" s="399">
        <v>0</v>
      </c>
      <c r="DG233" s="399">
        <v>0</v>
      </c>
      <c r="DH233" s="399">
        <v>0</v>
      </c>
      <c r="DI233" s="399">
        <v>-452.98317338887773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-62.115702500501357</v>
      </c>
      <c r="DP233" s="399">
        <v>-7.4096753730107423</v>
      </c>
      <c r="DQ233" s="399">
        <v>0</v>
      </c>
      <c r="DR233" s="399">
        <v>0</v>
      </c>
      <c r="DS233" s="399"/>
      <c r="DT233" s="399"/>
      <c r="DU233" s="399"/>
      <c r="DV233" s="399">
        <v>43055.655367895444</v>
      </c>
      <c r="DW233" s="399">
        <v>0</v>
      </c>
      <c r="DX233" s="399">
        <v>0</v>
      </c>
      <c r="DY233" s="399">
        <v>-19192.480150000003</v>
      </c>
      <c r="DZ233" s="399">
        <v>0</v>
      </c>
      <c r="EA233" s="399">
        <v>0</v>
      </c>
      <c r="EB233" s="399">
        <v>0</v>
      </c>
      <c r="EC233" s="399">
        <v>-18600.877715016442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218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2360</v>
      </c>
      <c r="C234" s="399" t="s">
        <v>2328</v>
      </c>
      <c r="D234" s="399" t="s">
        <v>1826</v>
      </c>
      <c r="E234" s="399" t="s">
        <v>2336</v>
      </c>
      <c r="F234" s="399" t="s">
        <v>1239</v>
      </c>
      <c r="G234" s="399" t="s">
        <v>1239</v>
      </c>
      <c r="H234" s="399" t="s">
        <v>1239</v>
      </c>
      <c r="I234" s="399" t="s">
        <v>1239</v>
      </c>
      <c r="J234" s="399" t="s">
        <v>2329</v>
      </c>
      <c r="K234" s="789">
        <v>44562</v>
      </c>
      <c r="L234" s="399">
        <v>0</v>
      </c>
      <c r="M234" s="399">
        <v>0</v>
      </c>
      <c r="N234" s="399">
        <v>-2.6269999999999998</v>
      </c>
      <c r="O234" s="399">
        <v>-2.6269999999999998</v>
      </c>
      <c r="P234" s="399">
        <v>-2.6269999999999998</v>
      </c>
      <c r="Q234" s="399">
        <v>-2.6269999999999998</v>
      </c>
      <c r="R234" s="399"/>
      <c r="S234" s="399">
        <v>521.86</v>
      </c>
      <c r="T234" s="399">
        <v>141.32</v>
      </c>
      <c r="U234" s="399"/>
      <c r="V234" s="399">
        <v>-1742.1738599999999</v>
      </c>
      <c r="W234" s="399">
        <v>-1742.1738599999999</v>
      </c>
      <c r="X234" s="399">
        <v>-1361.6529099999998</v>
      </c>
      <c r="Y234" s="399">
        <v>0</v>
      </c>
      <c r="Z234" s="399">
        <v>-159.39859063048726</v>
      </c>
      <c r="AA234" s="399">
        <v>0</v>
      </c>
      <c r="AB234" s="399">
        <v>0</v>
      </c>
      <c r="AC234" s="399">
        <v>0</v>
      </c>
      <c r="AD234" s="399">
        <v>-282.54383844048823</v>
      </c>
      <c r="AE234" s="399">
        <v>-853.64573809207104</v>
      </c>
      <c r="AF234" s="399">
        <v>-371.2448291940272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-24.64649390075018</v>
      </c>
      <c r="AM234" s="399"/>
      <c r="AN234" s="399">
        <v>-3.6432987774907946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-47.036167074888326</v>
      </c>
      <c r="BH234" s="399">
        <v>0</v>
      </c>
      <c r="BI234" s="399">
        <v>-11.71</v>
      </c>
      <c r="BJ234" s="399">
        <v>-54.01</v>
      </c>
      <c r="BK234" s="399">
        <v>0</v>
      </c>
      <c r="BL234" s="399">
        <v>0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-418.28099626891554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-1363.2078999999999</v>
      </c>
      <c r="CJ234" s="399">
        <v>378.93596000000002</v>
      </c>
      <c r="CK234" s="399"/>
      <c r="CL234" s="399"/>
      <c r="CM234" s="399"/>
      <c r="CN234" s="399"/>
      <c r="CO234" s="399">
        <v>380.52095000000003</v>
      </c>
      <c r="CP234" s="399">
        <v>0</v>
      </c>
      <c r="CQ234" s="399">
        <v>31</v>
      </c>
      <c r="CR234" s="399">
        <v>11.705222042779042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1.3456724298286531</v>
      </c>
      <c r="DA234" s="399">
        <v>0</v>
      </c>
      <c r="DB234" s="399">
        <v>0</v>
      </c>
      <c r="DC234" s="399">
        <v>0</v>
      </c>
      <c r="DD234" s="399">
        <v>0</v>
      </c>
      <c r="DE234" s="399">
        <v>0</v>
      </c>
      <c r="DF234" s="399">
        <v>0</v>
      </c>
      <c r="DG234" s="399">
        <v>0</v>
      </c>
      <c r="DH234" s="399">
        <v>0</v>
      </c>
      <c r="DI234" s="399">
        <v>8.9811002082474829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1.2315409963004811</v>
      </c>
      <c r="DP234" s="399">
        <v>0.14690840840232156</v>
      </c>
      <c r="DQ234" s="399">
        <v>0</v>
      </c>
      <c r="DR234" s="399">
        <v>0</v>
      </c>
      <c r="DS234" s="399"/>
      <c r="DT234" s="399"/>
      <c r="DU234" s="399"/>
      <c r="DV234" s="399">
        <v>-853.64573809207104</v>
      </c>
      <c r="DW234" s="399">
        <v>0</v>
      </c>
      <c r="DX234" s="399">
        <v>0</v>
      </c>
      <c r="DY234" s="399">
        <v>380.52094999999997</v>
      </c>
      <c r="DZ234" s="399">
        <v>0</v>
      </c>
      <c r="EA234" s="399">
        <v>0</v>
      </c>
      <c r="EB234" s="399">
        <v>0</v>
      </c>
      <c r="EC234" s="399">
        <v>368.7915060290884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218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956</v>
      </c>
      <c r="C235" s="399" t="s">
        <v>2328</v>
      </c>
      <c r="D235" s="399" t="s">
        <v>2337</v>
      </c>
      <c r="E235" s="399" t="s">
        <v>2338</v>
      </c>
      <c r="F235" s="399" t="s">
        <v>2339</v>
      </c>
      <c r="G235" s="399" t="s">
        <v>1239</v>
      </c>
      <c r="H235" s="399" t="s">
        <v>1239</v>
      </c>
      <c r="I235" s="399" t="s">
        <v>1239</v>
      </c>
      <c r="J235" s="399" t="s">
        <v>2329</v>
      </c>
      <c r="K235" s="789">
        <v>44562</v>
      </c>
      <c r="L235" s="399">
        <v>0</v>
      </c>
      <c r="M235" s="399">
        <v>0</v>
      </c>
      <c r="N235" s="399">
        <v>77.98</v>
      </c>
      <c r="O235" s="399">
        <v>77.98</v>
      </c>
      <c r="P235" s="399">
        <v>77.98</v>
      </c>
      <c r="Q235" s="399">
        <v>77.98</v>
      </c>
      <c r="R235" s="399"/>
      <c r="S235" s="399">
        <v>287.02</v>
      </c>
      <c r="T235" s="399">
        <v>77.73</v>
      </c>
      <c r="U235" s="399"/>
      <c r="V235" s="399">
        <v>28443.205000000002</v>
      </c>
      <c r="W235" s="399">
        <v>28443.205000000002</v>
      </c>
      <c r="X235" s="399">
        <v>22231.318200000002</v>
      </c>
      <c r="Y235" s="399">
        <v>0</v>
      </c>
      <c r="Z235" s="399">
        <v>2602.3776755047434</v>
      </c>
      <c r="AA235" s="399">
        <v>0</v>
      </c>
      <c r="AB235" s="399">
        <v>0</v>
      </c>
      <c r="AC235" s="399">
        <v>0</v>
      </c>
      <c r="AD235" s="399">
        <v>4612.8750235531561</v>
      </c>
      <c r="AE235" s="399">
        <v>13936.81464066648</v>
      </c>
      <c r="AF235" s="399">
        <v>6061.0275901418563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402.3842698550726</v>
      </c>
      <c r="AM235" s="399"/>
      <c r="AN235" s="399">
        <v>59.481325187591636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767.92317079363625</v>
      </c>
      <c r="BH235" s="399">
        <v>0</v>
      </c>
      <c r="BI235" s="399">
        <v>224.64</v>
      </c>
      <c r="BJ235" s="399">
        <v>1036.98</v>
      </c>
      <c r="BK235" s="399">
        <v>11521.97</v>
      </c>
      <c r="BL235" s="399">
        <v>7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6828.9507609354923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22231.318200000002</v>
      </c>
      <c r="CJ235" s="399">
        <v>-6211.9167999999954</v>
      </c>
      <c r="CK235" s="399"/>
      <c r="CL235" s="399"/>
      <c r="CM235" s="399"/>
      <c r="CN235" s="399"/>
      <c r="CO235" s="399">
        <v>-6211.8867999999975</v>
      </c>
      <c r="CP235" s="399">
        <v>0</v>
      </c>
      <c r="CQ235" s="399">
        <v>31</v>
      </c>
      <c r="CR235" s="399">
        <v>-191.10211960135712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-21.969754413003102</v>
      </c>
      <c r="DA235" s="399">
        <v>0</v>
      </c>
      <c r="DB235" s="399">
        <v>0</v>
      </c>
      <c r="DC235" s="399">
        <v>0</v>
      </c>
      <c r="DD235" s="399">
        <v>0</v>
      </c>
      <c r="DE235" s="399">
        <v>0</v>
      </c>
      <c r="DF235" s="399">
        <v>0</v>
      </c>
      <c r="DG235" s="399">
        <v>0</v>
      </c>
      <c r="DH235" s="399">
        <v>0</v>
      </c>
      <c r="DI235" s="399">
        <v>-146.62748642235147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-20.106418648775445</v>
      </c>
      <c r="DP235" s="399">
        <v>-2.3984601172318207</v>
      </c>
      <c r="DQ235" s="399">
        <v>0</v>
      </c>
      <c r="DR235" s="399">
        <v>0</v>
      </c>
      <c r="DS235" s="399"/>
      <c r="DT235" s="399"/>
      <c r="DU235" s="399"/>
      <c r="DV235" s="399">
        <v>13936.81464066648</v>
      </c>
      <c r="DW235" s="399">
        <v>0</v>
      </c>
      <c r="DX235" s="399">
        <v>0</v>
      </c>
      <c r="DY235" s="399">
        <v>-6211.8867999999966</v>
      </c>
      <c r="DZ235" s="399">
        <v>0</v>
      </c>
      <c r="EA235" s="399">
        <v>0</v>
      </c>
      <c r="EB235" s="399">
        <v>0</v>
      </c>
      <c r="EC235" s="399">
        <v>-6020.9740776861972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218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956</v>
      </c>
      <c r="C236" s="399" t="s">
        <v>2328</v>
      </c>
      <c r="D236" s="399" t="s">
        <v>1826</v>
      </c>
      <c r="E236" s="399" t="s">
        <v>921</v>
      </c>
      <c r="F236" s="399" t="s">
        <v>2362</v>
      </c>
      <c r="G236" s="399" t="s">
        <v>1239</v>
      </c>
      <c r="H236" s="399" t="s">
        <v>1239</v>
      </c>
      <c r="I236" s="399" t="s">
        <v>1239</v>
      </c>
      <c r="J236" s="399" t="s">
        <v>2329</v>
      </c>
      <c r="K236" s="789">
        <v>44562</v>
      </c>
      <c r="L236" s="399">
        <v>0</v>
      </c>
      <c r="M236" s="399">
        <v>0</v>
      </c>
      <c r="N236" s="399">
        <v>46.154000000000003</v>
      </c>
      <c r="O236" s="399">
        <v>43.38476</v>
      </c>
      <c r="P236" s="399">
        <v>46.154000000000003</v>
      </c>
      <c r="Q236" s="399">
        <v>43.38476</v>
      </c>
      <c r="R236" s="399"/>
      <c r="S236" s="399">
        <v>521.86</v>
      </c>
      <c r="T236" s="399">
        <v>141.32</v>
      </c>
      <c r="U236" s="399"/>
      <c r="V236" s="399">
        <v>30608.409720000003</v>
      </c>
      <c r="W236" s="399">
        <v>30608.409720000003</v>
      </c>
      <c r="X236" s="399">
        <v>23923.002820000002</v>
      </c>
      <c r="Y236" s="399">
        <v>0</v>
      </c>
      <c r="Z236" s="399">
        <v>2800.4882192461023</v>
      </c>
      <c r="AA236" s="399">
        <v>0</v>
      </c>
      <c r="AB236" s="399">
        <v>0</v>
      </c>
      <c r="AC236" s="399">
        <v>0</v>
      </c>
      <c r="AD236" s="399">
        <v>4964.0381878120652</v>
      </c>
      <c r="AE236" s="399">
        <v>14997.77898587798</v>
      </c>
      <c r="AF236" s="399">
        <v>6522.4338966962832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433.01647487446667</v>
      </c>
      <c r="AM236" s="399"/>
      <c r="AN236" s="399">
        <v>64.009444909139773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826.38266279954178</v>
      </c>
      <c r="BH236" s="399">
        <v>0</v>
      </c>
      <c r="BI236" s="399">
        <v>203.08</v>
      </c>
      <c r="BJ236" s="399">
        <v>937.83</v>
      </c>
      <c r="BK236" s="399">
        <v>10420.09</v>
      </c>
      <c r="BL236" s="399">
        <v>19</v>
      </c>
      <c r="BM236" s="399"/>
      <c r="BN236" s="399"/>
      <c r="BO236" s="399"/>
      <c r="BP236" s="399"/>
      <c r="BQ236" s="399">
        <v>1435.3801692000015</v>
      </c>
      <c r="BR236" s="399"/>
      <c r="BS236" s="399"/>
      <c r="BT236" s="399"/>
      <c r="BU236" s="399"/>
      <c r="BV236" s="399">
        <v>7348.8165594958245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22485.1554</v>
      </c>
      <c r="CJ236" s="399">
        <v>-6286.7797367999956</v>
      </c>
      <c r="CK236" s="399"/>
      <c r="CL236" s="399"/>
      <c r="CM236" s="399"/>
      <c r="CN236" s="399"/>
      <c r="CO236" s="399">
        <v>-6685.4069000000018</v>
      </c>
      <c r="CP236" s="399">
        <v>0</v>
      </c>
      <c r="CQ236" s="399">
        <v>31</v>
      </c>
      <c r="CR236" s="399">
        <v>-205.65010207933483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-23.642240322158614</v>
      </c>
      <c r="DA236" s="399">
        <v>0</v>
      </c>
      <c r="DB236" s="399">
        <v>0</v>
      </c>
      <c r="DC236" s="399">
        <v>0</v>
      </c>
      <c r="DD236" s="399">
        <v>0</v>
      </c>
      <c r="DE236" s="399">
        <v>0</v>
      </c>
      <c r="DF236" s="399">
        <v>0</v>
      </c>
      <c r="DG236" s="399">
        <v>0</v>
      </c>
      <c r="DH236" s="399">
        <v>0</v>
      </c>
      <c r="DI236" s="399">
        <v>-157.78975980641553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-21.637054869909548</v>
      </c>
      <c r="DP236" s="399">
        <v>-2.5810470808529828</v>
      </c>
      <c r="DQ236" s="399">
        <v>0</v>
      </c>
      <c r="DR236" s="399">
        <v>0</v>
      </c>
      <c r="DS236" s="399"/>
      <c r="DT236" s="399"/>
      <c r="DU236" s="399"/>
      <c r="DV236" s="399">
        <v>14997.77898587798</v>
      </c>
      <c r="DW236" s="399">
        <v>0</v>
      </c>
      <c r="DX236" s="399">
        <v>0</v>
      </c>
      <c r="DY236" s="399">
        <v>-6685.4069000000018</v>
      </c>
      <c r="DZ236" s="399">
        <v>0</v>
      </c>
      <c r="EA236" s="399">
        <v>0</v>
      </c>
      <c r="EB236" s="399">
        <v>0</v>
      </c>
      <c r="EC236" s="399">
        <v>-6479.3312406800724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218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956</v>
      </c>
      <c r="C237" s="399" t="s">
        <v>2398</v>
      </c>
      <c r="D237" s="399" t="s">
        <v>533</v>
      </c>
      <c r="E237" s="399" t="s">
        <v>921</v>
      </c>
      <c r="F237" s="399" t="s">
        <v>2362</v>
      </c>
      <c r="G237" s="399" t="s">
        <v>1239</v>
      </c>
      <c r="H237" s="399" t="s">
        <v>1239</v>
      </c>
      <c r="I237" s="399" t="s">
        <v>893</v>
      </c>
      <c r="J237" s="399" t="s">
        <v>2329</v>
      </c>
      <c r="K237" s="789">
        <v>44562</v>
      </c>
      <c r="L237" s="399">
        <v>473</v>
      </c>
      <c r="M237" s="399">
        <v>444.62</v>
      </c>
      <c r="N237" s="399">
        <v>17.815000000000001</v>
      </c>
      <c r="O237" s="399">
        <v>16.746099999999998</v>
      </c>
      <c r="P237" s="399">
        <v>17.815000000000001</v>
      </c>
      <c r="Q237" s="399">
        <v>16.746099999999998</v>
      </c>
      <c r="R237" s="399">
        <v>111.06</v>
      </c>
      <c r="S237" s="399">
        <v>69.680000000000007</v>
      </c>
      <c r="T237" s="399">
        <v>141.32</v>
      </c>
      <c r="U237" s="399">
        <v>52531.380000000005</v>
      </c>
      <c r="V237" s="399">
        <v>3758.9650000000001</v>
      </c>
      <c r="W237" s="399">
        <v>56290.345000000001</v>
      </c>
      <c r="X237" s="399">
        <v>40198.735100000005</v>
      </c>
      <c r="Y237" s="399">
        <v>0</v>
      </c>
      <c r="Z237" s="399">
        <v>940.43651545925184</v>
      </c>
      <c r="AA237" s="399">
        <v>0</v>
      </c>
      <c r="AB237" s="399">
        <v>0</v>
      </c>
      <c r="AC237" s="399">
        <v>0</v>
      </c>
      <c r="AD237" s="399">
        <v>15601.035621738743</v>
      </c>
      <c r="AE237" s="399">
        <v>36931.487851072554</v>
      </c>
      <c r="AF237" s="399">
        <v>2517.596738519831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167.1401936969412</v>
      </c>
      <c r="AM237" s="399"/>
      <c r="AN237" s="399">
        <v>10.702226077498082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123.15435433886292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>
        <v>2411.9241060000004</v>
      </c>
      <c r="BR237" s="399"/>
      <c r="BS237" s="399"/>
      <c r="BT237" s="399"/>
      <c r="BU237" s="399"/>
      <c r="BV237" s="399">
        <v>2640.7510928586939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37787.6204</v>
      </c>
      <c r="CJ237" s="399">
        <v>-15125.333900000005</v>
      </c>
      <c r="CK237" s="399"/>
      <c r="CL237" s="399"/>
      <c r="CM237" s="399"/>
      <c r="CN237" s="399"/>
      <c r="CO237" s="399">
        <v>-16091.609900000001</v>
      </c>
      <c r="CP237" s="399">
        <v>0</v>
      </c>
      <c r="CQ237" s="399">
        <v>31</v>
      </c>
      <c r="CR237" s="399">
        <v>-136.0739779922078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-74.303101525192687</v>
      </c>
      <c r="DA237" s="399">
        <v>0</v>
      </c>
      <c r="DB237" s="399">
        <v>0</v>
      </c>
      <c r="DC237" s="399">
        <v>0</v>
      </c>
      <c r="DD237" s="399">
        <v>0</v>
      </c>
      <c r="DE237" s="399">
        <v>0</v>
      </c>
      <c r="DF237" s="399">
        <v>0</v>
      </c>
      <c r="DG237" s="399">
        <v>0</v>
      </c>
      <c r="DH237" s="399">
        <v>0</v>
      </c>
      <c r="DI237" s="399">
        <v>-52.987636536978471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-8.3516950320110652</v>
      </c>
      <c r="DP237" s="399">
        <v>-0.43154489802510199</v>
      </c>
      <c r="DQ237" s="399">
        <v>0</v>
      </c>
      <c r="DR237" s="399">
        <v>0</v>
      </c>
      <c r="DS237" s="399"/>
      <c r="DT237" s="399"/>
      <c r="DU237" s="399">
        <v>36931.487851072554</v>
      </c>
      <c r="DV237" s="399">
        <v>0</v>
      </c>
      <c r="DW237" s="399">
        <v>0</v>
      </c>
      <c r="DX237" s="399">
        <v>0</v>
      </c>
      <c r="DY237" s="399">
        <v>-16091.609899999996</v>
      </c>
      <c r="DZ237" s="399">
        <v>0</v>
      </c>
      <c r="EA237" s="399">
        <v>0</v>
      </c>
      <c r="EB237" s="399">
        <v>0</v>
      </c>
      <c r="EC237" s="399">
        <v>-15955.118636137315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218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956</v>
      </c>
      <c r="C238" s="399" t="s">
        <v>2398</v>
      </c>
      <c r="D238" s="399" t="s">
        <v>533</v>
      </c>
      <c r="E238" s="399" t="s">
        <v>921</v>
      </c>
      <c r="F238" s="399" t="s">
        <v>2362</v>
      </c>
      <c r="G238" s="399" t="s">
        <v>1239</v>
      </c>
      <c r="H238" s="399" t="s">
        <v>1239</v>
      </c>
      <c r="I238" s="399" t="s">
        <v>2326</v>
      </c>
      <c r="J238" s="399" t="s">
        <v>2329</v>
      </c>
      <c r="K238" s="789">
        <v>44562</v>
      </c>
      <c r="L238" s="399">
        <v>476</v>
      </c>
      <c r="M238" s="399">
        <v>447.44</v>
      </c>
      <c r="N238" s="399">
        <v>186.745</v>
      </c>
      <c r="O238" s="399">
        <v>175.5403</v>
      </c>
      <c r="P238" s="399">
        <v>186.745</v>
      </c>
      <c r="Q238" s="399">
        <v>175.5403</v>
      </c>
      <c r="R238" s="399">
        <v>35.15</v>
      </c>
      <c r="S238" s="399">
        <v>69.680000000000007</v>
      </c>
      <c r="T238" s="399">
        <v>141.32</v>
      </c>
      <c r="U238" s="399">
        <v>16731.399999999998</v>
      </c>
      <c r="V238" s="399">
        <v>39403.195</v>
      </c>
      <c r="W238" s="399">
        <v>56134.595000000001</v>
      </c>
      <c r="X238" s="399">
        <v>50971.217300000004</v>
      </c>
      <c r="Y238" s="399">
        <v>0</v>
      </c>
      <c r="Z238" s="399">
        <v>9858.0868413942171</v>
      </c>
      <c r="AA238" s="399">
        <v>0</v>
      </c>
      <c r="AB238" s="399">
        <v>0</v>
      </c>
      <c r="AC238" s="399">
        <v>0</v>
      </c>
      <c r="AD238" s="399">
        <v>6345.7336872418518</v>
      </c>
      <c r="AE238" s="399">
        <v>10385.357157330851</v>
      </c>
      <c r="AF238" s="399">
        <v>26390.603588823229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1752.0401612088285</v>
      </c>
      <c r="AM238" s="399"/>
      <c r="AN238" s="399">
        <v>112.18564180984447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1290.9604210502921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>
        <v>3058.2730380000003</v>
      </c>
      <c r="BR238" s="399"/>
      <c r="BS238" s="399"/>
      <c r="BT238" s="399"/>
      <c r="BU238" s="399"/>
      <c r="BV238" s="399">
        <v>27681.56400987352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47912.881999999998</v>
      </c>
      <c r="CJ238" s="399">
        <v>-4853.6673000000083</v>
      </c>
      <c r="CK238" s="399"/>
      <c r="CL238" s="399"/>
      <c r="CM238" s="399"/>
      <c r="CN238" s="399"/>
      <c r="CO238" s="399">
        <v>-5163.3777</v>
      </c>
      <c r="CP238" s="399">
        <v>0</v>
      </c>
      <c r="CQ238" s="399">
        <v>31</v>
      </c>
      <c r="CR238" s="399">
        <v>-677.73350122530246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-30.222845831933228</v>
      </c>
      <c r="DA238" s="399">
        <v>0</v>
      </c>
      <c r="DB238" s="399">
        <v>0</v>
      </c>
      <c r="DC238" s="399">
        <v>0</v>
      </c>
      <c r="DD238" s="399">
        <v>0</v>
      </c>
      <c r="DE238" s="399">
        <v>0</v>
      </c>
      <c r="DF238" s="399">
        <v>0</v>
      </c>
      <c r="DG238" s="399">
        <v>0</v>
      </c>
      <c r="DH238" s="399">
        <v>0</v>
      </c>
      <c r="DI238" s="399">
        <v>-555.4407064326715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-87.546297432102392</v>
      </c>
      <c r="DP238" s="399">
        <v>-4.5236515285825192</v>
      </c>
      <c r="DQ238" s="399">
        <v>0</v>
      </c>
      <c r="DR238" s="399">
        <v>0</v>
      </c>
      <c r="DS238" s="399"/>
      <c r="DT238" s="399"/>
      <c r="DU238" s="399">
        <v>10385.357157330851</v>
      </c>
      <c r="DV238" s="399">
        <v>0</v>
      </c>
      <c r="DW238" s="399">
        <v>0</v>
      </c>
      <c r="DX238" s="399">
        <v>0</v>
      </c>
      <c r="DY238" s="399">
        <v>-5163.3776999999973</v>
      </c>
      <c r="DZ238" s="399">
        <v>0</v>
      </c>
      <c r="EA238" s="399">
        <v>0</v>
      </c>
      <c r="EB238" s="399">
        <v>0</v>
      </c>
      <c r="EC238" s="399">
        <v>-4486.6756029992994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218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956</v>
      </c>
      <c r="C239" s="399" t="s">
        <v>2398</v>
      </c>
      <c r="D239" s="399" t="s">
        <v>533</v>
      </c>
      <c r="E239" s="399" t="s">
        <v>921</v>
      </c>
      <c r="F239" s="399" t="s">
        <v>2362</v>
      </c>
      <c r="G239" s="399" t="s">
        <v>1239</v>
      </c>
      <c r="H239" s="399" t="s">
        <v>1239</v>
      </c>
      <c r="I239" s="399" t="s">
        <v>1239</v>
      </c>
      <c r="J239" s="399" t="s">
        <v>2329</v>
      </c>
      <c r="K239" s="789">
        <v>44562</v>
      </c>
      <c r="L239" s="399">
        <v>0</v>
      </c>
      <c r="M239" s="399">
        <v>0</v>
      </c>
      <c r="N239" s="399">
        <v>0</v>
      </c>
      <c r="O239" s="399">
        <v>0</v>
      </c>
      <c r="P239" s="399">
        <v>0</v>
      </c>
      <c r="Q239" s="399">
        <v>0</v>
      </c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>
        <v>0</v>
      </c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>
        <v>0</v>
      </c>
      <c r="BA239" s="399"/>
      <c r="BB239" s="399"/>
      <c r="BC239" s="399"/>
      <c r="BD239" s="399"/>
      <c r="BE239" s="399"/>
      <c r="BF239" s="399"/>
      <c r="BG239" s="399"/>
      <c r="BH239" s="399"/>
      <c r="BI239" s="399">
        <v>811.01</v>
      </c>
      <c r="BJ239" s="399">
        <v>3743.14</v>
      </c>
      <c r="BK239" s="399">
        <v>37907.08</v>
      </c>
      <c r="BL239" s="399">
        <v>2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/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/>
      <c r="CJ239" s="399">
        <v>-0.03</v>
      </c>
      <c r="CK239" s="399"/>
      <c r="CL239" s="399"/>
      <c r="CM239" s="399"/>
      <c r="CN239" s="399"/>
      <c r="CO239" s="399">
        <v>0</v>
      </c>
      <c r="CP239" s="399">
        <v>0</v>
      </c>
      <c r="CQ239" s="399">
        <v>31</v>
      </c>
      <c r="CR239" s="399"/>
      <c r="CS239" s="399"/>
      <c r="CT239" s="399"/>
      <c r="CU239" s="399"/>
      <c r="CV239" s="399"/>
      <c r="CW239" s="399"/>
      <c r="CX239" s="399"/>
      <c r="CY239" s="399"/>
      <c r="CZ239" s="399"/>
      <c r="DA239" s="399"/>
      <c r="DB239" s="399"/>
      <c r="DC239" s="399"/>
      <c r="DD239" s="399"/>
      <c r="DE239" s="399"/>
      <c r="DF239" s="399"/>
      <c r="DG239" s="399"/>
      <c r="DH239" s="399"/>
      <c r="DI239" s="399"/>
      <c r="DJ239" s="399"/>
      <c r="DK239" s="399">
        <v>0</v>
      </c>
      <c r="DL239" s="399"/>
      <c r="DM239" s="399"/>
      <c r="DN239" s="399"/>
      <c r="DO239" s="399"/>
      <c r="DP239" s="399"/>
      <c r="DQ239" s="399"/>
      <c r="DR239" s="399"/>
      <c r="DS239" s="399"/>
      <c r="DT239" s="399"/>
      <c r="DU239" s="399"/>
      <c r="DV239" s="399"/>
      <c r="DW239" s="399"/>
      <c r="DX239" s="399"/>
      <c r="DY239" s="399"/>
      <c r="DZ239" s="399"/>
      <c r="EA239" s="399"/>
      <c r="EB239" s="399"/>
      <c r="EC239" s="399"/>
      <c r="ED239" s="399"/>
      <c r="EE239" s="399"/>
      <c r="EF239" s="399"/>
      <c r="EG239" s="399"/>
      <c r="EH239" s="399"/>
      <c r="EI239" s="399"/>
      <c r="EJ239" s="399"/>
      <c r="EK239" s="399"/>
      <c r="EL239" s="399"/>
      <c r="EM239" s="399"/>
      <c r="EN239" s="399"/>
      <c r="EO239" s="399"/>
      <c r="EP239" s="399"/>
      <c r="EQ239" s="399"/>
      <c r="ER239" s="399"/>
      <c r="ES239" s="399"/>
      <c r="ET239" s="399"/>
      <c r="EU239" s="399"/>
      <c r="EV239" s="399">
        <v>218</v>
      </c>
      <c r="EW239" s="399"/>
      <c r="EX239" s="399"/>
      <c r="EY239" s="399"/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956</v>
      </c>
      <c r="C240" s="399" t="s">
        <v>2334</v>
      </c>
      <c r="D240" s="399" t="s">
        <v>533</v>
      </c>
      <c r="E240" s="399" t="s">
        <v>921</v>
      </c>
      <c r="F240" s="399" t="s">
        <v>2362</v>
      </c>
      <c r="G240" s="399" t="s">
        <v>1239</v>
      </c>
      <c r="H240" s="399" t="s">
        <v>1239</v>
      </c>
      <c r="I240" s="399" t="s">
        <v>893</v>
      </c>
      <c r="J240" s="399" t="s">
        <v>2329</v>
      </c>
      <c r="K240" s="789">
        <v>44562</v>
      </c>
      <c r="L240" s="399">
        <v>0</v>
      </c>
      <c r="M240" s="399">
        <v>0</v>
      </c>
      <c r="N240" s="399">
        <v>4.8470000000000004</v>
      </c>
      <c r="O240" s="399">
        <v>4.5561800000000003</v>
      </c>
      <c r="P240" s="399">
        <v>4.8470000000000004</v>
      </c>
      <c r="Q240" s="399">
        <v>4.5561800000000003</v>
      </c>
      <c r="R240" s="399"/>
      <c r="S240" s="399">
        <v>2741.05</v>
      </c>
      <c r="T240" s="399">
        <v>141.32</v>
      </c>
      <c r="U240" s="399"/>
      <c r="V240" s="399">
        <v>13970.847390000003</v>
      </c>
      <c r="W240" s="399">
        <v>13970.847390000003</v>
      </c>
      <c r="X240" s="399">
        <v>10003.62636</v>
      </c>
      <c r="Y240" s="399">
        <v>0</v>
      </c>
      <c r="Z240" s="399">
        <v>255.86841372051606</v>
      </c>
      <c r="AA240" s="399">
        <v>0</v>
      </c>
      <c r="AB240" s="399">
        <v>0</v>
      </c>
      <c r="AC240" s="399">
        <v>0</v>
      </c>
      <c r="AD240" s="399">
        <v>3846.3924893334838</v>
      </c>
      <c r="AE240" s="399">
        <v>9101.7389457291756</v>
      </c>
      <c r="AF240" s="399">
        <v>684.97285386503631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45.474516915468648</v>
      </c>
      <c r="AM240" s="399"/>
      <c r="AN240" s="399">
        <v>2.9117984730638904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33.507109485291529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>
        <v>600.21758160000013</v>
      </c>
      <c r="BR240" s="399"/>
      <c r="BS240" s="399"/>
      <c r="BT240" s="399"/>
      <c r="BU240" s="399"/>
      <c r="BV240" s="399">
        <v>718.47996335032781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9411.2927999999993</v>
      </c>
      <c r="CJ240" s="399">
        <v>-3721.333746600003</v>
      </c>
      <c r="CK240" s="399"/>
      <c r="CL240" s="399"/>
      <c r="CM240" s="399"/>
      <c r="CN240" s="399"/>
      <c r="CO240" s="399">
        <v>-3967.2210300000015</v>
      </c>
      <c r="CP240" s="399">
        <v>0</v>
      </c>
      <c r="CQ240" s="399">
        <v>31</v>
      </c>
      <c r="CR240" s="399">
        <v>-35.125480935273117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-18.319225631561949</v>
      </c>
      <c r="DA240" s="399">
        <v>0</v>
      </c>
      <c r="DB240" s="399">
        <v>0</v>
      </c>
      <c r="DC240" s="399">
        <v>0</v>
      </c>
      <c r="DD240" s="399">
        <v>0</v>
      </c>
      <c r="DE240" s="399">
        <v>0</v>
      </c>
      <c r="DF240" s="399">
        <v>0</v>
      </c>
      <c r="DG240" s="399">
        <v>0</v>
      </c>
      <c r="DH240" s="399">
        <v>0</v>
      </c>
      <c r="DI240" s="399">
        <v>-14.416563249774612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-2.2722798664135624</v>
      </c>
      <c r="DP240" s="399">
        <v>-0.11741218752330473</v>
      </c>
      <c r="DQ240" s="399">
        <v>0</v>
      </c>
      <c r="DR240" s="399">
        <v>0</v>
      </c>
      <c r="DS240" s="399"/>
      <c r="DT240" s="399"/>
      <c r="DU240" s="399"/>
      <c r="DV240" s="399">
        <v>9101.7389457291756</v>
      </c>
      <c r="DW240" s="399">
        <v>0</v>
      </c>
      <c r="DX240" s="399">
        <v>0</v>
      </c>
      <c r="DY240" s="399">
        <v>-3967.2210300000024</v>
      </c>
      <c r="DZ240" s="399">
        <v>0</v>
      </c>
      <c r="EA240" s="399">
        <v>0</v>
      </c>
      <c r="EB240" s="399">
        <v>0</v>
      </c>
      <c r="EC240" s="399">
        <v>-3932.1276537750946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218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956</v>
      </c>
      <c r="C241" s="399" t="s">
        <v>2334</v>
      </c>
      <c r="D241" s="399" t="s">
        <v>533</v>
      </c>
      <c r="E241" s="399" t="s">
        <v>921</v>
      </c>
      <c r="F241" s="399" t="s">
        <v>2362</v>
      </c>
      <c r="G241" s="399" t="s">
        <v>1239</v>
      </c>
      <c r="H241" s="399" t="s">
        <v>1239</v>
      </c>
      <c r="I241" s="399" t="s">
        <v>2326</v>
      </c>
      <c r="J241" s="399" t="s">
        <v>2329</v>
      </c>
      <c r="K241" s="789">
        <v>44562</v>
      </c>
      <c r="L241" s="399">
        <v>0</v>
      </c>
      <c r="M241" s="399">
        <v>0</v>
      </c>
      <c r="N241" s="399">
        <v>46.517000000000003</v>
      </c>
      <c r="O241" s="399">
        <v>43.72598</v>
      </c>
      <c r="P241" s="399">
        <v>46.517000000000003</v>
      </c>
      <c r="Q241" s="399">
        <v>43.72598</v>
      </c>
      <c r="R241" s="399"/>
      <c r="S241" s="399">
        <v>69.680000000000007</v>
      </c>
      <c r="T241" s="399">
        <v>141.32</v>
      </c>
      <c r="U241" s="399"/>
      <c r="V241" s="399">
        <v>9815.0869999999995</v>
      </c>
      <c r="W241" s="399">
        <v>9815.0869999999995</v>
      </c>
      <c r="X241" s="399">
        <v>9654.1381799999999</v>
      </c>
      <c r="Y241" s="399">
        <v>0</v>
      </c>
      <c r="Z241" s="399">
        <v>2455.587167533989</v>
      </c>
      <c r="AA241" s="399">
        <v>0</v>
      </c>
      <c r="AB241" s="399">
        <v>0</v>
      </c>
      <c r="AC241" s="399">
        <v>0</v>
      </c>
      <c r="AD241" s="399">
        <v>0</v>
      </c>
      <c r="AE241" s="399">
        <v>0</v>
      </c>
      <c r="AF241" s="399">
        <v>6573.7326682978937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436.4221380971436</v>
      </c>
      <c r="AM241" s="399"/>
      <c r="AN241" s="399">
        <v>27.944734799156794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321.57008704916569</v>
      </c>
      <c r="BH241" s="399">
        <v>0</v>
      </c>
      <c r="BI241" s="399">
        <v>0</v>
      </c>
      <c r="BJ241" s="399">
        <v>0</v>
      </c>
      <c r="BK241" s="399">
        <v>0</v>
      </c>
      <c r="BL241" s="399">
        <v>0</v>
      </c>
      <c r="BM241" s="399"/>
      <c r="BN241" s="399"/>
      <c r="BO241" s="399"/>
      <c r="BP241" s="399"/>
      <c r="BQ241" s="399">
        <v>579.24829080000063</v>
      </c>
      <c r="BR241" s="399"/>
      <c r="BS241" s="399"/>
      <c r="BT241" s="399"/>
      <c r="BU241" s="399"/>
      <c r="BV241" s="399">
        <v>6895.3027553470592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9075.7241999999987</v>
      </c>
      <c r="CJ241" s="399">
        <v>-150.48758000000271</v>
      </c>
      <c r="CK241" s="399"/>
      <c r="CL241" s="399"/>
      <c r="CM241" s="399"/>
      <c r="CN241" s="399"/>
      <c r="CO241" s="399">
        <v>-160.94882000000038</v>
      </c>
      <c r="CP241" s="399">
        <v>0</v>
      </c>
      <c r="CQ241" s="399">
        <v>31</v>
      </c>
      <c r="CR241" s="399">
        <v>-161.29081451676211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0</v>
      </c>
      <c r="DA241" s="399">
        <v>0</v>
      </c>
      <c r="DB241" s="399">
        <v>0</v>
      </c>
      <c r="DC241" s="399">
        <v>0</v>
      </c>
      <c r="DD241" s="399">
        <v>0</v>
      </c>
      <c r="DE241" s="399">
        <v>0</v>
      </c>
      <c r="DF241" s="399">
        <v>0</v>
      </c>
      <c r="DG241" s="399">
        <v>0</v>
      </c>
      <c r="DH241" s="399">
        <v>0</v>
      </c>
      <c r="DI241" s="399">
        <v>-138.35677175361343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-21.807229739211834</v>
      </c>
      <c r="DP241" s="399">
        <v>-1.1268130239367764</v>
      </c>
      <c r="DQ241" s="399">
        <v>0</v>
      </c>
      <c r="DR241" s="399">
        <v>0</v>
      </c>
      <c r="DS241" s="399"/>
      <c r="DT241" s="399"/>
      <c r="DU241" s="399"/>
      <c r="DV241" s="399">
        <v>0</v>
      </c>
      <c r="DW241" s="399">
        <v>0</v>
      </c>
      <c r="DX241" s="399">
        <v>0</v>
      </c>
      <c r="DY241" s="399">
        <v>-160.94882000000052</v>
      </c>
      <c r="DZ241" s="399">
        <v>0</v>
      </c>
      <c r="EA241" s="399">
        <v>0</v>
      </c>
      <c r="EB241" s="399">
        <v>0</v>
      </c>
      <c r="EC241" s="399">
        <v>0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218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956</v>
      </c>
      <c r="C242" s="399" t="s">
        <v>2334</v>
      </c>
      <c r="D242" s="399" t="s">
        <v>533</v>
      </c>
      <c r="E242" s="399" t="s">
        <v>921</v>
      </c>
      <c r="F242" s="399" t="s">
        <v>2362</v>
      </c>
      <c r="G242" s="399" t="s">
        <v>1239</v>
      </c>
      <c r="H242" s="399" t="s">
        <v>1239</v>
      </c>
      <c r="I242" s="399" t="s">
        <v>1239</v>
      </c>
      <c r="J242" s="399" t="s">
        <v>2329</v>
      </c>
      <c r="K242" s="789">
        <v>44562</v>
      </c>
      <c r="L242" s="399">
        <v>84</v>
      </c>
      <c r="M242" s="399">
        <v>78.959999999999994</v>
      </c>
      <c r="N242" s="399">
        <v>0</v>
      </c>
      <c r="O242" s="399">
        <v>0</v>
      </c>
      <c r="P242" s="399">
        <v>0</v>
      </c>
      <c r="Q242" s="399">
        <v>0</v>
      </c>
      <c r="R242" s="399">
        <v>35.15</v>
      </c>
      <c r="S242" s="399"/>
      <c r="T242" s="399"/>
      <c r="U242" s="399">
        <v>2952.6</v>
      </c>
      <c r="V242" s="399"/>
      <c r="W242" s="399">
        <v>2952.6</v>
      </c>
      <c r="X242" s="399">
        <v>2155.44</v>
      </c>
      <c r="Y242" s="399">
        <v>0</v>
      </c>
      <c r="Z242" s="399">
        <v>0</v>
      </c>
      <c r="AA242" s="399">
        <v>0</v>
      </c>
      <c r="AB242" s="399">
        <v>0</v>
      </c>
      <c r="AC242" s="399">
        <v>0</v>
      </c>
      <c r="AD242" s="399">
        <v>1119.8353565720915</v>
      </c>
      <c r="AE242" s="399">
        <v>1832.7100865877972</v>
      </c>
      <c r="AF242" s="399"/>
      <c r="AG242" s="399"/>
      <c r="AH242" s="399"/>
      <c r="AI242" s="399">
        <v>0</v>
      </c>
      <c r="AJ242" s="399">
        <v>0</v>
      </c>
      <c r="AK242" s="399">
        <v>0</v>
      </c>
      <c r="AL242" s="399">
        <v>0</v>
      </c>
      <c r="AM242" s="399"/>
      <c r="AN242" s="399">
        <v>0</v>
      </c>
      <c r="AO242" s="399">
        <v>0</v>
      </c>
      <c r="AP242" s="399">
        <v>0</v>
      </c>
      <c r="AQ242" s="399">
        <v>0</v>
      </c>
      <c r="AR242" s="399">
        <v>0</v>
      </c>
      <c r="AS242" s="399"/>
      <c r="AT242" s="399"/>
      <c r="AU242" s="399">
        <v>0</v>
      </c>
      <c r="AV242" s="399">
        <v>0</v>
      </c>
      <c r="AW242" s="399">
        <v>0</v>
      </c>
      <c r="AX242" s="399"/>
      <c r="AY242" s="399"/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/>
      <c r="BG242" s="399">
        <v>0</v>
      </c>
      <c r="BH242" s="399">
        <v>0</v>
      </c>
      <c r="BI242" s="399">
        <v>199.47</v>
      </c>
      <c r="BJ242" s="399">
        <v>920.67</v>
      </c>
      <c r="BK242" s="399">
        <v>10229.629999999999</v>
      </c>
      <c r="BL242" s="399">
        <v>1</v>
      </c>
      <c r="BM242" s="399"/>
      <c r="BN242" s="399"/>
      <c r="BO242" s="399"/>
      <c r="BP242" s="399"/>
      <c r="BQ242" s="399">
        <v>129.32640000000015</v>
      </c>
      <c r="BR242" s="399"/>
      <c r="BS242" s="399"/>
      <c r="BT242" s="399"/>
      <c r="BU242" s="399"/>
      <c r="BV242" s="399">
        <v>0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2026.1135999999999</v>
      </c>
      <c r="CJ242" s="399">
        <v>-749.36040000000025</v>
      </c>
      <c r="CK242" s="399"/>
      <c r="CL242" s="399"/>
      <c r="CM242" s="399"/>
      <c r="CN242" s="399"/>
      <c r="CO242" s="399">
        <v>-797.15999999999985</v>
      </c>
      <c r="CP242" s="399">
        <v>0</v>
      </c>
      <c r="CQ242" s="399">
        <v>31</v>
      </c>
      <c r="CR242" s="399">
        <v>-5.3334433821057701</v>
      </c>
      <c r="CS242" s="399">
        <v>0</v>
      </c>
      <c r="CT242" s="399">
        <v>0</v>
      </c>
      <c r="CU242" s="399">
        <v>0</v>
      </c>
      <c r="CV242" s="399">
        <v>0</v>
      </c>
      <c r="CW242" s="399"/>
      <c r="CX242" s="399"/>
      <c r="CY242" s="399"/>
      <c r="CZ242" s="399">
        <v>-5.3334433821057701</v>
      </c>
      <c r="DA242" s="399">
        <v>0</v>
      </c>
      <c r="DB242" s="399">
        <v>0</v>
      </c>
      <c r="DC242" s="399"/>
      <c r="DD242" s="399"/>
      <c r="DE242" s="399">
        <v>0</v>
      </c>
      <c r="DF242" s="399">
        <v>0</v>
      </c>
      <c r="DG242" s="399">
        <v>0</v>
      </c>
      <c r="DH242" s="399">
        <v>0</v>
      </c>
      <c r="DI242" s="399">
        <v>0</v>
      </c>
      <c r="DJ242" s="399"/>
      <c r="DK242" s="399">
        <v>0</v>
      </c>
      <c r="DL242" s="399">
        <v>0</v>
      </c>
      <c r="DM242" s="399"/>
      <c r="DN242" s="399">
        <v>0</v>
      </c>
      <c r="DO242" s="399">
        <v>0</v>
      </c>
      <c r="DP242" s="399">
        <v>0</v>
      </c>
      <c r="DQ242" s="399">
        <v>0</v>
      </c>
      <c r="DR242" s="399">
        <v>0</v>
      </c>
      <c r="DS242" s="399"/>
      <c r="DT242" s="399"/>
      <c r="DU242" s="399">
        <v>1832.7100865877972</v>
      </c>
      <c r="DV242" s="399"/>
      <c r="DW242" s="399">
        <v>0</v>
      </c>
      <c r="DX242" s="399">
        <v>0</v>
      </c>
      <c r="DY242" s="399">
        <v>-797.15999999999985</v>
      </c>
      <c r="DZ242" s="399"/>
      <c r="EA242" s="399">
        <v>0</v>
      </c>
      <c r="EB242" s="399"/>
      <c r="EC242" s="399">
        <v>-791.76628288222923</v>
      </c>
      <c r="ED242" s="399"/>
      <c r="EE242" s="399">
        <v>0</v>
      </c>
      <c r="EF242" s="399">
        <v>0</v>
      </c>
      <c r="EG242" s="399"/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/>
      <c r="EN242" s="399"/>
      <c r="EO242" s="399">
        <v>0</v>
      </c>
      <c r="EP242" s="399">
        <v>0</v>
      </c>
      <c r="EQ242" s="399"/>
      <c r="ER242" s="399">
        <v>0</v>
      </c>
      <c r="ES242" s="399"/>
      <c r="ET242" s="399">
        <v>0</v>
      </c>
      <c r="EU242" s="399"/>
      <c r="EV242" s="399">
        <v>218</v>
      </c>
      <c r="EW242" s="399"/>
      <c r="EX242" s="399"/>
      <c r="EY242" s="399"/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956</v>
      </c>
      <c r="C243" s="399" t="s">
        <v>2328</v>
      </c>
      <c r="D243" s="399" t="s">
        <v>2335</v>
      </c>
      <c r="E243" s="399" t="s">
        <v>894</v>
      </c>
      <c r="F243" s="399" t="s">
        <v>2363</v>
      </c>
      <c r="G243" s="399" t="s">
        <v>2340</v>
      </c>
      <c r="H243" s="399" t="s">
        <v>1239</v>
      </c>
      <c r="I243" s="399" t="s">
        <v>1239</v>
      </c>
      <c r="J243" s="399" t="s">
        <v>2329</v>
      </c>
      <c r="K243" s="789">
        <v>44562</v>
      </c>
      <c r="L243" s="399">
        <v>0</v>
      </c>
      <c r="M243" s="399">
        <v>0</v>
      </c>
      <c r="N243" s="399">
        <v>0</v>
      </c>
      <c r="O243" s="399">
        <v>0</v>
      </c>
      <c r="P243" s="399">
        <v>0</v>
      </c>
      <c r="Q243" s="399">
        <v>0</v>
      </c>
      <c r="R243" s="399"/>
      <c r="S243" s="399"/>
      <c r="T243" s="399"/>
      <c r="U243" s="399"/>
      <c r="V243" s="399"/>
      <c r="W243" s="399"/>
      <c r="X243" s="399"/>
      <c r="Y243" s="399"/>
      <c r="Z243" s="399"/>
      <c r="AA243" s="399">
        <v>0</v>
      </c>
      <c r="AB243" s="399"/>
      <c r="AC243" s="399"/>
      <c r="AD243" s="399"/>
      <c r="AE243" s="399"/>
      <c r="AF243" s="399"/>
      <c r="AG243" s="399"/>
      <c r="AH243" s="399"/>
      <c r="AI243" s="399"/>
      <c r="AJ243" s="399"/>
      <c r="AK243" s="399"/>
      <c r="AL243" s="399"/>
      <c r="AM243" s="399"/>
      <c r="AN243" s="399"/>
      <c r="AO243" s="399"/>
      <c r="AP243" s="399"/>
      <c r="AQ243" s="399"/>
      <c r="AR243" s="399"/>
      <c r="AS243" s="399"/>
      <c r="AT243" s="399"/>
      <c r="AU243" s="399"/>
      <c r="AV243" s="399"/>
      <c r="AW243" s="399"/>
      <c r="AX243" s="399"/>
      <c r="AY243" s="399"/>
      <c r="AZ243" s="399">
        <v>0</v>
      </c>
      <c r="BA243" s="399"/>
      <c r="BB243" s="399"/>
      <c r="BC243" s="399"/>
      <c r="BD243" s="399"/>
      <c r="BE243" s="399"/>
      <c r="BF243" s="399"/>
      <c r="BG243" s="399"/>
      <c r="BH243" s="399"/>
      <c r="BI243" s="399">
        <v>54.34</v>
      </c>
      <c r="BJ243" s="399">
        <v>251.28</v>
      </c>
      <c r="BK243" s="399">
        <v>1913.99</v>
      </c>
      <c r="BL243" s="399">
        <v>21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/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/>
      <c r="CJ243" s="399">
        <v>-0.03</v>
      </c>
      <c r="CK243" s="399"/>
      <c r="CL243" s="399"/>
      <c r="CM243" s="399"/>
      <c r="CN243" s="399"/>
      <c r="CO243" s="399">
        <v>0</v>
      </c>
      <c r="CP243" s="399">
        <v>0</v>
      </c>
      <c r="CQ243" s="399">
        <v>31</v>
      </c>
      <c r="CR243" s="399"/>
      <c r="CS243" s="399"/>
      <c r="CT243" s="399"/>
      <c r="CU243" s="399"/>
      <c r="CV243" s="399"/>
      <c r="CW243" s="399"/>
      <c r="CX243" s="399"/>
      <c r="CY243" s="399"/>
      <c r="CZ243" s="399"/>
      <c r="DA243" s="399"/>
      <c r="DB243" s="399"/>
      <c r="DC243" s="399"/>
      <c r="DD243" s="399"/>
      <c r="DE243" s="399"/>
      <c r="DF243" s="399"/>
      <c r="DG243" s="399"/>
      <c r="DH243" s="399"/>
      <c r="DI243" s="399"/>
      <c r="DJ243" s="399"/>
      <c r="DK243" s="399">
        <v>0</v>
      </c>
      <c r="DL243" s="399"/>
      <c r="DM243" s="399"/>
      <c r="DN243" s="399"/>
      <c r="DO243" s="399"/>
      <c r="DP243" s="399"/>
      <c r="DQ243" s="399"/>
      <c r="DR243" s="399"/>
      <c r="DS243" s="399"/>
      <c r="DT243" s="399"/>
      <c r="DU243" s="399"/>
      <c r="DV243" s="399"/>
      <c r="DW243" s="399"/>
      <c r="DX243" s="399"/>
      <c r="DY243" s="399"/>
      <c r="DZ243" s="399"/>
      <c r="EA243" s="399"/>
      <c r="EB243" s="399"/>
      <c r="EC243" s="399"/>
      <c r="ED243" s="399"/>
      <c r="EE243" s="399"/>
      <c r="EF243" s="399"/>
      <c r="EG243" s="399"/>
      <c r="EH243" s="399"/>
      <c r="EI243" s="399"/>
      <c r="EJ243" s="399"/>
      <c r="EK243" s="399"/>
      <c r="EL243" s="399"/>
      <c r="EM243" s="399"/>
      <c r="EN243" s="399"/>
      <c r="EO243" s="399"/>
      <c r="EP243" s="399"/>
      <c r="EQ243" s="399"/>
      <c r="ER243" s="399"/>
      <c r="ES243" s="399"/>
      <c r="ET243" s="399"/>
      <c r="EU243" s="399"/>
      <c r="EV243" s="399">
        <v>218</v>
      </c>
      <c r="EW243" s="399"/>
      <c r="EX243" s="399"/>
      <c r="EY243" s="399"/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2361</v>
      </c>
      <c r="C244" s="399" t="s">
        <v>2328</v>
      </c>
      <c r="D244" s="399" t="s">
        <v>2335</v>
      </c>
      <c r="E244" s="399" t="s">
        <v>894</v>
      </c>
      <c r="F244" s="399" t="s">
        <v>2363</v>
      </c>
      <c r="G244" s="399" t="s">
        <v>2340</v>
      </c>
      <c r="H244" s="399" t="s">
        <v>1239</v>
      </c>
      <c r="I244" s="399" t="s">
        <v>1239</v>
      </c>
      <c r="J244" s="399" t="s">
        <v>2329</v>
      </c>
      <c r="K244" s="789">
        <v>44562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5.83</v>
      </c>
      <c r="BJ244" s="399">
        <v>27</v>
      </c>
      <c r="BK244" s="399">
        <v>351.21</v>
      </c>
      <c r="BL244" s="399">
        <v>4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31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218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956</v>
      </c>
      <c r="C245" s="399" t="s">
        <v>2328</v>
      </c>
      <c r="D245" s="399" t="s">
        <v>2335</v>
      </c>
      <c r="E245" s="399" t="s">
        <v>894</v>
      </c>
      <c r="F245" s="399" t="s">
        <v>2363</v>
      </c>
      <c r="G245" s="399" t="s">
        <v>2340</v>
      </c>
      <c r="H245" s="399" t="s">
        <v>1239</v>
      </c>
      <c r="I245" s="399" t="s">
        <v>1239</v>
      </c>
      <c r="J245" s="399" t="s">
        <v>2329</v>
      </c>
      <c r="K245" s="789">
        <v>44562</v>
      </c>
      <c r="L245" s="399">
        <v>0</v>
      </c>
      <c r="M245" s="399">
        <v>0</v>
      </c>
      <c r="N245" s="399">
        <v>4.2919999999999998</v>
      </c>
      <c r="O245" s="399">
        <v>4.2919999999999998</v>
      </c>
      <c r="P245" s="399">
        <v>4.2919999999999998</v>
      </c>
      <c r="Q245" s="399">
        <v>4.2919999999999998</v>
      </c>
      <c r="R245" s="399"/>
      <c r="S245" s="399">
        <v>521.86</v>
      </c>
      <c r="T245" s="399">
        <v>141.32</v>
      </c>
      <c r="U245" s="399"/>
      <c r="V245" s="399">
        <v>2846.3685599999999</v>
      </c>
      <c r="W245" s="399">
        <v>2846.3685599999999</v>
      </c>
      <c r="X245" s="399">
        <v>2224.67236</v>
      </c>
      <c r="Y245" s="399">
        <v>0</v>
      </c>
      <c r="Z245" s="399">
        <v>260.42586638220456</v>
      </c>
      <c r="AA245" s="399">
        <v>0</v>
      </c>
      <c r="AB245" s="399">
        <v>0</v>
      </c>
      <c r="AC245" s="399">
        <v>0</v>
      </c>
      <c r="AD245" s="399">
        <v>461.62091914220611</v>
      </c>
      <c r="AE245" s="399">
        <v>1394.6888115307077</v>
      </c>
      <c r="AF245" s="399">
        <v>606.54084769728399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40.267511161789024</v>
      </c>
      <c r="AM245" s="399"/>
      <c r="AN245" s="399">
        <v>5.9524318054779188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76.847822263197827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>
        <v>266.9624</v>
      </c>
      <c r="BS245" s="399"/>
      <c r="BT245" s="399"/>
      <c r="BU245" s="399"/>
      <c r="BV245" s="399">
        <v>683.38866996048182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1956.7977000000001</v>
      </c>
      <c r="CJ245" s="399">
        <v>-548.0005799999999</v>
      </c>
      <c r="CK245" s="399"/>
      <c r="CL245" s="399"/>
      <c r="CM245" s="399"/>
      <c r="CN245" s="399"/>
      <c r="CO245" s="399">
        <v>-621.69620000000009</v>
      </c>
      <c r="CP245" s="399">
        <v>0</v>
      </c>
      <c r="CQ245" s="399">
        <v>31</v>
      </c>
      <c r="CR245" s="399">
        <v>-19.1240247459491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-2.1985634064805595</v>
      </c>
      <c r="DA245" s="399">
        <v>0</v>
      </c>
      <c r="DB245" s="399">
        <v>0</v>
      </c>
      <c r="DC245" s="399">
        <v>0</v>
      </c>
      <c r="DD245" s="399">
        <v>0</v>
      </c>
      <c r="DE245" s="399">
        <v>0</v>
      </c>
      <c r="DF245" s="399">
        <v>0</v>
      </c>
      <c r="DG245" s="399">
        <v>0</v>
      </c>
      <c r="DH245" s="399">
        <v>0</v>
      </c>
      <c r="DI245" s="399">
        <v>-14.673346819108559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-2.0120951488852867</v>
      </c>
      <c r="DP245" s="399">
        <v>-0.24001937147421692</v>
      </c>
      <c r="DQ245" s="399">
        <v>0</v>
      </c>
      <c r="DR245" s="399">
        <v>0</v>
      </c>
      <c r="DS245" s="399"/>
      <c r="DT245" s="399"/>
      <c r="DU245" s="399"/>
      <c r="DV245" s="399">
        <v>1394.6888115307077</v>
      </c>
      <c r="DW245" s="399">
        <v>0</v>
      </c>
      <c r="DX245" s="399">
        <v>0</v>
      </c>
      <c r="DY245" s="399">
        <v>-621.69620000000009</v>
      </c>
      <c r="DZ245" s="399">
        <v>0</v>
      </c>
      <c r="EA245" s="399">
        <v>0</v>
      </c>
      <c r="EB245" s="399">
        <v>0</v>
      </c>
      <c r="EC245" s="399">
        <v>-602.53260139963743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218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2361</v>
      </c>
      <c r="C246" s="399" t="s">
        <v>2328</v>
      </c>
      <c r="D246" s="399" t="s">
        <v>2335</v>
      </c>
      <c r="E246" s="399" t="s">
        <v>894</v>
      </c>
      <c r="F246" s="399" t="s">
        <v>2363</v>
      </c>
      <c r="G246" s="399" t="s">
        <v>2340</v>
      </c>
      <c r="H246" s="399" t="s">
        <v>1239</v>
      </c>
      <c r="I246" s="399" t="s">
        <v>1239</v>
      </c>
      <c r="J246" s="399" t="s">
        <v>2329</v>
      </c>
      <c r="K246" s="789">
        <v>44562</v>
      </c>
      <c r="L246" s="399">
        <v>0</v>
      </c>
      <c r="M246" s="399">
        <v>0</v>
      </c>
      <c r="N246" s="399">
        <v>0.44400000000000001</v>
      </c>
      <c r="O246" s="399">
        <v>0.44400000000000001</v>
      </c>
      <c r="P246" s="399">
        <v>0.44400000000000001</v>
      </c>
      <c r="Q246" s="399">
        <v>0.44400000000000001</v>
      </c>
      <c r="R246" s="399"/>
      <c r="S246" s="399">
        <v>521.86</v>
      </c>
      <c r="T246" s="399">
        <v>141.32</v>
      </c>
      <c r="U246" s="399"/>
      <c r="V246" s="399">
        <v>294.45191999999997</v>
      </c>
      <c r="W246" s="399">
        <v>294.45191999999997</v>
      </c>
      <c r="X246" s="399">
        <v>230.13852</v>
      </c>
      <c r="Y246" s="399">
        <v>0</v>
      </c>
      <c r="Z246" s="399">
        <v>26.940606867124611</v>
      </c>
      <c r="AA246" s="399">
        <v>0</v>
      </c>
      <c r="AB246" s="399">
        <v>0</v>
      </c>
      <c r="AC246" s="399">
        <v>0</v>
      </c>
      <c r="AD246" s="399">
        <v>47.753888187124772</v>
      </c>
      <c r="AE246" s="399">
        <v>144.27815291696976</v>
      </c>
      <c r="AF246" s="399">
        <v>62.745604934201793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4.1656046029436924</v>
      </c>
      <c r="AM246" s="399"/>
      <c r="AN246" s="399">
        <v>0.61576880746323293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7.9497747168825352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>
        <v>27.616800000000005</v>
      </c>
      <c r="BS246" s="399"/>
      <c r="BT246" s="399"/>
      <c r="BU246" s="399"/>
      <c r="BV246" s="399">
        <v>70.695379651084323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200.69720000000001</v>
      </c>
      <c r="CJ246" s="399">
        <v>-58.446759999999983</v>
      </c>
      <c r="CK246" s="399"/>
      <c r="CL246" s="399"/>
      <c r="CM246" s="399"/>
      <c r="CN246" s="399"/>
      <c r="CO246" s="399">
        <v>-64.313400000000016</v>
      </c>
      <c r="CP246" s="399">
        <v>0</v>
      </c>
      <c r="CQ246" s="399">
        <v>31</v>
      </c>
      <c r="CR246" s="399">
        <v>-1.9783473875119455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-0.22743759377384976</v>
      </c>
      <c r="DA246" s="399">
        <v>0</v>
      </c>
      <c r="DB246" s="399">
        <v>0</v>
      </c>
      <c r="DC246" s="399">
        <v>0</v>
      </c>
      <c r="DD246" s="399">
        <v>0</v>
      </c>
      <c r="DE246" s="399">
        <v>0</v>
      </c>
      <c r="DF246" s="399">
        <v>0</v>
      </c>
      <c r="DG246" s="399">
        <v>0</v>
      </c>
      <c r="DH246" s="399">
        <v>0</v>
      </c>
      <c r="DI246" s="399">
        <v>-1.5179324295629542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-0.20814777402261608</v>
      </c>
      <c r="DP246" s="399">
        <v>-2.4829590152505077E-2</v>
      </c>
      <c r="DQ246" s="399">
        <v>0</v>
      </c>
      <c r="DR246" s="399">
        <v>0</v>
      </c>
      <c r="DS246" s="399"/>
      <c r="DT246" s="399"/>
      <c r="DU246" s="399"/>
      <c r="DV246" s="399">
        <v>144.27815291696976</v>
      </c>
      <c r="DW246" s="399">
        <v>0</v>
      </c>
      <c r="DX246" s="399">
        <v>0</v>
      </c>
      <c r="DY246" s="399">
        <v>-64.313400000000001</v>
      </c>
      <c r="DZ246" s="399">
        <v>0</v>
      </c>
      <c r="EA246" s="399">
        <v>0</v>
      </c>
      <c r="EB246" s="399">
        <v>0</v>
      </c>
      <c r="EC246" s="399">
        <v>-62.330958765479735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218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956</v>
      </c>
      <c r="C247" s="399" t="s">
        <v>2328</v>
      </c>
      <c r="D247" s="399" t="s">
        <v>2335</v>
      </c>
      <c r="E247" s="399" t="s">
        <v>894</v>
      </c>
      <c r="F247" s="399" t="s">
        <v>2363</v>
      </c>
      <c r="G247" s="399" t="s">
        <v>2341</v>
      </c>
      <c r="H247" s="399" t="s">
        <v>1239</v>
      </c>
      <c r="I247" s="399" t="s">
        <v>1239</v>
      </c>
      <c r="J247" s="399" t="s">
        <v>2329</v>
      </c>
      <c r="K247" s="789">
        <v>44562</v>
      </c>
      <c r="L247" s="399">
        <v>0</v>
      </c>
      <c r="M247" s="399">
        <v>0</v>
      </c>
      <c r="N247" s="399">
        <v>7.93</v>
      </c>
      <c r="O247" s="399">
        <v>3.1720000000000002</v>
      </c>
      <c r="P247" s="399">
        <v>7.93</v>
      </c>
      <c r="Q247" s="399">
        <v>3.1720000000000002</v>
      </c>
      <c r="R247" s="399"/>
      <c r="S247" s="399">
        <v>521.86</v>
      </c>
      <c r="T247" s="399">
        <v>141.32</v>
      </c>
      <c r="U247" s="399"/>
      <c r="V247" s="399">
        <v>5259.0173999999997</v>
      </c>
      <c r="W247" s="399">
        <v>5259.0173999999997</v>
      </c>
      <c r="X247" s="399">
        <v>4110.3568999999998</v>
      </c>
      <c r="Y247" s="399">
        <v>0</v>
      </c>
      <c r="Z247" s="399">
        <v>481.16894697364449</v>
      </c>
      <c r="AA247" s="399">
        <v>0</v>
      </c>
      <c r="AB247" s="399">
        <v>0</v>
      </c>
      <c r="AC247" s="399">
        <v>0</v>
      </c>
      <c r="AD247" s="399">
        <v>852.9016516304041</v>
      </c>
      <c r="AE247" s="399">
        <v>2576.8598032242571</v>
      </c>
      <c r="AF247" s="399">
        <v>1120.6591151536491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74.399199327350189</v>
      </c>
      <c r="AM247" s="399"/>
      <c r="AN247" s="399">
        <v>10.997852799962697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141.98584122720382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>
        <v>2663.5125399999997</v>
      </c>
      <c r="BT247" s="399"/>
      <c r="BU247" s="399"/>
      <c r="BV247" s="399">
        <v>1262.6449563808528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1445.9320999999998</v>
      </c>
      <c r="CJ247" s="399">
        <v>-405.2453800000003</v>
      </c>
      <c r="CK247" s="399"/>
      <c r="CL247" s="399"/>
      <c r="CM247" s="399"/>
      <c r="CN247" s="399"/>
      <c r="CO247" s="399">
        <v>-1148.6605000000002</v>
      </c>
      <c r="CP247" s="399">
        <v>0</v>
      </c>
      <c r="CQ247" s="399">
        <v>31</v>
      </c>
      <c r="CR247" s="399">
        <v>-35.333997258940144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-4.0621173842941971</v>
      </c>
      <c r="DA247" s="399">
        <v>0</v>
      </c>
      <c r="DB247" s="399">
        <v>0</v>
      </c>
      <c r="DC247" s="399">
        <v>0</v>
      </c>
      <c r="DD247" s="399">
        <v>0</v>
      </c>
      <c r="DE247" s="399">
        <v>0</v>
      </c>
      <c r="DF247" s="399">
        <v>0</v>
      </c>
      <c r="DG247" s="399">
        <v>0</v>
      </c>
      <c r="DH247" s="399">
        <v>0</v>
      </c>
      <c r="DI247" s="399">
        <v>-27.110820194671646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-3.717594252250791</v>
      </c>
      <c r="DP247" s="399">
        <v>-0.44346542772379749</v>
      </c>
      <c r="DQ247" s="399">
        <v>0</v>
      </c>
      <c r="DR247" s="399">
        <v>0</v>
      </c>
      <c r="DS247" s="399"/>
      <c r="DT247" s="399"/>
      <c r="DU247" s="399"/>
      <c r="DV247" s="399">
        <v>2576.8598032242571</v>
      </c>
      <c r="DW247" s="399">
        <v>0</v>
      </c>
      <c r="DX247" s="399">
        <v>0</v>
      </c>
      <c r="DY247" s="399">
        <v>-1148.6605</v>
      </c>
      <c r="DZ247" s="399">
        <v>0</v>
      </c>
      <c r="EA247" s="399">
        <v>0</v>
      </c>
      <c r="EB247" s="399">
        <v>0</v>
      </c>
      <c r="EC247" s="399">
        <v>-1113.2533851582302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218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2361</v>
      </c>
      <c r="C248" s="399" t="s">
        <v>2328</v>
      </c>
      <c r="D248" s="399" t="s">
        <v>2335</v>
      </c>
      <c r="E248" s="399" t="s">
        <v>894</v>
      </c>
      <c r="F248" s="399" t="s">
        <v>2363</v>
      </c>
      <c r="G248" s="399" t="s">
        <v>2341</v>
      </c>
      <c r="H248" s="399" t="s">
        <v>1239</v>
      </c>
      <c r="I248" s="399" t="s">
        <v>1239</v>
      </c>
      <c r="J248" s="399" t="s">
        <v>2329</v>
      </c>
      <c r="K248" s="789">
        <v>44562</v>
      </c>
      <c r="L248" s="399">
        <v>0</v>
      </c>
      <c r="M248" s="399">
        <v>0</v>
      </c>
      <c r="N248" s="399">
        <v>0.86899999999999999</v>
      </c>
      <c r="O248" s="399">
        <v>0.34760000000000002</v>
      </c>
      <c r="P248" s="399">
        <v>0.86899999999999999</v>
      </c>
      <c r="Q248" s="399">
        <v>0.34760000000000002</v>
      </c>
      <c r="R248" s="399"/>
      <c r="S248" s="399">
        <v>521.86</v>
      </c>
      <c r="T248" s="399">
        <v>141.32</v>
      </c>
      <c r="U248" s="399"/>
      <c r="V248" s="399">
        <v>576.30342000000007</v>
      </c>
      <c r="W248" s="399">
        <v>576.30342000000007</v>
      </c>
      <c r="X248" s="399">
        <v>450.42876999999999</v>
      </c>
      <c r="Y248" s="399">
        <v>0</v>
      </c>
      <c r="Z248" s="399">
        <v>52.728349926872269</v>
      </c>
      <c r="AA248" s="399">
        <v>0</v>
      </c>
      <c r="AB248" s="399">
        <v>0</v>
      </c>
      <c r="AC248" s="399">
        <v>0</v>
      </c>
      <c r="AD248" s="399">
        <v>93.464254132007724</v>
      </c>
      <c r="AE248" s="399">
        <v>282.38224073163678</v>
      </c>
      <c r="AF248" s="399">
        <v>122.80615019779584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8.1529513512569114</v>
      </c>
      <c r="AM248" s="399"/>
      <c r="AN248" s="399">
        <v>1.2051871479404266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15.559356371556133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/>
      <c r="BS248" s="399">
        <v>291.87798199999997</v>
      </c>
      <c r="BT248" s="399"/>
      <c r="BU248" s="399"/>
      <c r="BV248" s="399">
        <v>138.36550656935196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159.64549999999997</v>
      </c>
      <c r="CJ248" s="399">
        <v>-43.240384000000006</v>
      </c>
      <c r="CK248" s="399"/>
      <c r="CL248" s="399"/>
      <c r="CM248" s="399"/>
      <c r="CN248" s="399"/>
      <c r="CO248" s="399">
        <v>-125.87465000000002</v>
      </c>
      <c r="CP248" s="399">
        <v>0</v>
      </c>
      <c r="CQ248" s="399">
        <v>31</v>
      </c>
      <c r="CR248" s="399">
        <v>-3.8720357651979498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-0.44514249772404924</v>
      </c>
      <c r="DA248" s="399">
        <v>0</v>
      </c>
      <c r="DB248" s="399">
        <v>0</v>
      </c>
      <c r="DC248" s="399">
        <v>0</v>
      </c>
      <c r="DD248" s="399">
        <v>0</v>
      </c>
      <c r="DE248" s="399">
        <v>0</v>
      </c>
      <c r="DF248" s="399">
        <v>0</v>
      </c>
      <c r="DG248" s="399">
        <v>0</v>
      </c>
      <c r="DH248" s="399">
        <v>0</v>
      </c>
      <c r="DI248" s="399">
        <v>-2.9709082911941636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-0.40738832348120102</v>
      </c>
      <c r="DP248" s="399">
        <v>-4.8596652798484019E-2</v>
      </c>
      <c r="DQ248" s="399">
        <v>0</v>
      </c>
      <c r="DR248" s="399">
        <v>0</v>
      </c>
      <c r="DS248" s="399"/>
      <c r="DT248" s="399"/>
      <c r="DU248" s="399"/>
      <c r="DV248" s="399">
        <v>282.38224073163678</v>
      </c>
      <c r="DW248" s="399">
        <v>0</v>
      </c>
      <c r="DX248" s="399">
        <v>0</v>
      </c>
      <c r="DY248" s="399">
        <v>-125.87465000000003</v>
      </c>
      <c r="DZ248" s="399">
        <v>0</v>
      </c>
      <c r="EA248" s="399">
        <v>0</v>
      </c>
      <c r="EB248" s="399">
        <v>0</v>
      </c>
      <c r="EC248" s="399">
        <v>-121.99460172793221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218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956</v>
      </c>
      <c r="C249" s="399" t="s">
        <v>2328</v>
      </c>
      <c r="D249" s="399" t="s">
        <v>2335</v>
      </c>
      <c r="E249" s="399" t="s">
        <v>894</v>
      </c>
      <c r="F249" s="399" t="s">
        <v>2342</v>
      </c>
      <c r="G249" s="399" t="s">
        <v>2340</v>
      </c>
      <c r="H249" s="399" t="s">
        <v>1239</v>
      </c>
      <c r="I249" s="399" t="s">
        <v>1239</v>
      </c>
      <c r="J249" s="399" t="s">
        <v>2329</v>
      </c>
      <c r="K249" s="789">
        <v>44562</v>
      </c>
      <c r="L249" s="399">
        <v>0</v>
      </c>
      <c r="M249" s="399">
        <v>0</v>
      </c>
      <c r="N249" s="399">
        <v>0</v>
      </c>
      <c r="O249" s="399">
        <v>0</v>
      </c>
      <c r="P249" s="399">
        <v>0</v>
      </c>
      <c r="Q249" s="399">
        <v>0</v>
      </c>
      <c r="R249" s="399"/>
      <c r="S249" s="399"/>
      <c r="T249" s="399"/>
      <c r="U249" s="399"/>
      <c r="V249" s="399"/>
      <c r="W249" s="399"/>
      <c r="X249" s="399"/>
      <c r="Y249" s="399"/>
      <c r="Z249" s="399"/>
      <c r="AA249" s="399">
        <v>0</v>
      </c>
      <c r="AB249" s="399"/>
      <c r="AC249" s="399"/>
      <c r="AD249" s="399"/>
      <c r="AE249" s="399"/>
      <c r="AF249" s="399"/>
      <c r="AG249" s="399"/>
      <c r="AH249" s="399"/>
      <c r="AI249" s="399"/>
      <c r="AJ249" s="399"/>
      <c r="AK249" s="399"/>
      <c r="AL249" s="399"/>
      <c r="AM249" s="399"/>
      <c r="AN249" s="399"/>
      <c r="AO249" s="399"/>
      <c r="AP249" s="399"/>
      <c r="AQ249" s="399"/>
      <c r="AR249" s="399"/>
      <c r="AS249" s="399"/>
      <c r="AT249" s="399"/>
      <c r="AU249" s="399"/>
      <c r="AV249" s="399"/>
      <c r="AW249" s="399"/>
      <c r="AX249" s="399"/>
      <c r="AY249" s="399"/>
      <c r="AZ249" s="399">
        <v>0</v>
      </c>
      <c r="BA249" s="399"/>
      <c r="BB249" s="399"/>
      <c r="BC249" s="399"/>
      <c r="BD249" s="399"/>
      <c r="BE249" s="399"/>
      <c r="BF249" s="399"/>
      <c r="BG249" s="399"/>
      <c r="BH249" s="399"/>
      <c r="BI249" s="399">
        <v>91.27</v>
      </c>
      <c r="BJ249" s="399">
        <v>421.55</v>
      </c>
      <c r="BK249" s="399">
        <v>3690.82</v>
      </c>
      <c r="BL249" s="399">
        <v>16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/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/>
      <c r="CJ249" s="399">
        <v>-0.03</v>
      </c>
      <c r="CK249" s="399"/>
      <c r="CL249" s="399"/>
      <c r="CM249" s="399"/>
      <c r="CN249" s="399"/>
      <c r="CO249" s="399">
        <v>0</v>
      </c>
      <c r="CP249" s="399">
        <v>0</v>
      </c>
      <c r="CQ249" s="399">
        <v>31</v>
      </c>
      <c r="CR249" s="399"/>
      <c r="CS249" s="399"/>
      <c r="CT249" s="399"/>
      <c r="CU249" s="399"/>
      <c r="CV249" s="399"/>
      <c r="CW249" s="399"/>
      <c r="CX249" s="399"/>
      <c r="CY249" s="399"/>
      <c r="CZ249" s="399"/>
      <c r="DA249" s="399"/>
      <c r="DB249" s="399"/>
      <c r="DC249" s="399"/>
      <c r="DD249" s="399"/>
      <c r="DE249" s="399"/>
      <c r="DF249" s="399"/>
      <c r="DG249" s="399"/>
      <c r="DH249" s="399"/>
      <c r="DI249" s="399"/>
      <c r="DJ249" s="399"/>
      <c r="DK249" s="399">
        <v>0</v>
      </c>
      <c r="DL249" s="399"/>
      <c r="DM249" s="399"/>
      <c r="DN249" s="399"/>
      <c r="DO249" s="399"/>
      <c r="DP249" s="399"/>
      <c r="DQ249" s="399"/>
      <c r="DR249" s="399"/>
      <c r="DS249" s="399"/>
      <c r="DT249" s="399"/>
      <c r="DU249" s="399"/>
      <c r="DV249" s="399"/>
      <c r="DW249" s="399"/>
      <c r="DX249" s="399"/>
      <c r="DY249" s="399"/>
      <c r="DZ249" s="399"/>
      <c r="EA249" s="399"/>
      <c r="EB249" s="399"/>
      <c r="EC249" s="399"/>
      <c r="ED249" s="399"/>
      <c r="EE249" s="399"/>
      <c r="EF249" s="399"/>
      <c r="EG249" s="399"/>
      <c r="EH249" s="399"/>
      <c r="EI249" s="399"/>
      <c r="EJ249" s="399"/>
      <c r="EK249" s="399"/>
      <c r="EL249" s="399"/>
      <c r="EM249" s="399"/>
      <c r="EN249" s="399"/>
      <c r="EO249" s="399"/>
      <c r="EP249" s="399"/>
      <c r="EQ249" s="399"/>
      <c r="ER249" s="399"/>
      <c r="ES249" s="399"/>
      <c r="ET249" s="399"/>
      <c r="EU249" s="399"/>
      <c r="EV249" s="399">
        <v>218</v>
      </c>
      <c r="EW249" s="399"/>
      <c r="EX249" s="399"/>
      <c r="EY249" s="399"/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2361</v>
      </c>
      <c r="C250" s="399" t="s">
        <v>2328</v>
      </c>
      <c r="D250" s="399" t="s">
        <v>2335</v>
      </c>
      <c r="E250" s="399" t="s">
        <v>894</v>
      </c>
      <c r="F250" s="399" t="s">
        <v>2342</v>
      </c>
      <c r="G250" s="399" t="s">
        <v>2340</v>
      </c>
      <c r="H250" s="399" t="s">
        <v>1239</v>
      </c>
      <c r="I250" s="399" t="s">
        <v>1239</v>
      </c>
      <c r="J250" s="399" t="s">
        <v>2329</v>
      </c>
      <c r="K250" s="789">
        <v>44562</v>
      </c>
      <c r="L250" s="399">
        <v>0</v>
      </c>
      <c r="M250" s="399">
        <v>0</v>
      </c>
      <c r="N250" s="399">
        <v>0</v>
      </c>
      <c r="O250" s="399">
        <v>0</v>
      </c>
      <c r="P250" s="399">
        <v>0</v>
      </c>
      <c r="Q250" s="399">
        <v>0</v>
      </c>
      <c r="R250" s="399"/>
      <c r="S250" s="399"/>
      <c r="T250" s="399"/>
      <c r="U250" s="399"/>
      <c r="V250" s="399"/>
      <c r="W250" s="399"/>
      <c r="X250" s="399"/>
      <c r="Y250" s="399"/>
      <c r="Z250" s="399"/>
      <c r="AA250" s="399">
        <v>0</v>
      </c>
      <c r="AB250" s="399"/>
      <c r="AC250" s="399"/>
      <c r="AD250" s="399"/>
      <c r="AE250" s="399"/>
      <c r="AF250" s="399"/>
      <c r="AG250" s="399"/>
      <c r="AH250" s="399"/>
      <c r="AI250" s="399"/>
      <c r="AJ250" s="399"/>
      <c r="AK250" s="399"/>
      <c r="AL250" s="399"/>
      <c r="AM250" s="399"/>
      <c r="AN250" s="399"/>
      <c r="AO250" s="399"/>
      <c r="AP250" s="399"/>
      <c r="AQ250" s="399"/>
      <c r="AR250" s="399"/>
      <c r="AS250" s="399"/>
      <c r="AT250" s="399"/>
      <c r="AU250" s="399"/>
      <c r="AV250" s="399"/>
      <c r="AW250" s="399"/>
      <c r="AX250" s="399"/>
      <c r="AY250" s="399"/>
      <c r="AZ250" s="399">
        <v>0</v>
      </c>
      <c r="BA250" s="399"/>
      <c r="BB250" s="399"/>
      <c r="BC250" s="399"/>
      <c r="BD250" s="399"/>
      <c r="BE250" s="399"/>
      <c r="BF250" s="399"/>
      <c r="BG250" s="399"/>
      <c r="BH250" s="399"/>
      <c r="BI250" s="399">
        <v>26.11</v>
      </c>
      <c r="BJ250" s="399">
        <v>120.59</v>
      </c>
      <c r="BK250" s="399">
        <v>1244.93</v>
      </c>
      <c r="BL250" s="399">
        <v>4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/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/>
      <c r="CJ250" s="399">
        <v>-0.03</v>
      </c>
      <c r="CK250" s="399"/>
      <c r="CL250" s="399"/>
      <c r="CM250" s="399"/>
      <c r="CN250" s="399"/>
      <c r="CO250" s="399">
        <v>0</v>
      </c>
      <c r="CP250" s="399">
        <v>0</v>
      </c>
      <c r="CQ250" s="399">
        <v>31</v>
      </c>
      <c r="CR250" s="399"/>
      <c r="CS250" s="399"/>
      <c r="CT250" s="399"/>
      <c r="CU250" s="399"/>
      <c r="CV250" s="399"/>
      <c r="CW250" s="399"/>
      <c r="CX250" s="399"/>
      <c r="CY250" s="399"/>
      <c r="CZ250" s="399"/>
      <c r="DA250" s="399"/>
      <c r="DB250" s="399"/>
      <c r="DC250" s="399"/>
      <c r="DD250" s="399"/>
      <c r="DE250" s="399"/>
      <c r="DF250" s="399"/>
      <c r="DG250" s="399"/>
      <c r="DH250" s="399"/>
      <c r="DI250" s="399"/>
      <c r="DJ250" s="399"/>
      <c r="DK250" s="399">
        <v>0</v>
      </c>
      <c r="DL250" s="399"/>
      <c r="DM250" s="399"/>
      <c r="DN250" s="399"/>
      <c r="DO250" s="399"/>
      <c r="DP250" s="399"/>
      <c r="DQ250" s="399"/>
      <c r="DR250" s="399"/>
      <c r="DS250" s="399"/>
      <c r="DT250" s="399"/>
      <c r="DU250" s="399"/>
      <c r="DV250" s="399"/>
      <c r="DW250" s="399"/>
      <c r="DX250" s="399"/>
      <c r="DY250" s="399"/>
      <c r="DZ250" s="399"/>
      <c r="EA250" s="399"/>
      <c r="EB250" s="399"/>
      <c r="EC250" s="399"/>
      <c r="ED250" s="399"/>
      <c r="EE250" s="399"/>
      <c r="EF250" s="399"/>
      <c r="EG250" s="399"/>
      <c r="EH250" s="399"/>
      <c r="EI250" s="399"/>
      <c r="EJ250" s="399"/>
      <c r="EK250" s="399"/>
      <c r="EL250" s="399"/>
      <c r="EM250" s="399"/>
      <c r="EN250" s="399"/>
      <c r="EO250" s="399"/>
      <c r="EP250" s="399"/>
      <c r="EQ250" s="399"/>
      <c r="ER250" s="399"/>
      <c r="ES250" s="399"/>
      <c r="ET250" s="399"/>
      <c r="EU250" s="399"/>
      <c r="EV250" s="399">
        <v>218</v>
      </c>
      <c r="EW250" s="399"/>
      <c r="EX250" s="399"/>
      <c r="EY250" s="399"/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956</v>
      </c>
      <c r="C251" s="399" t="s">
        <v>2328</v>
      </c>
      <c r="D251" s="399" t="s">
        <v>2335</v>
      </c>
      <c r="E251" s="399" t="s">
        <v>894</v>
      </c>
      <c r="F251" s="399" t="s">
        <v>2342</v>
      </c>
      <c r="G251" s="399" t="s">
        <v>2340</v>
      </c>
      <c r="H251" s="399" t="s">
        <v>1239</v>
      </c>
      <c r="I251" s="399" t="s">
        <v>1239</v>
      </c>
      <c r="J251" s="399" t="s">
        <v>2329</v>
      </c>
      <c r="K251" s="789">
        <v>44562</v>
      </c>
      <c r="L251" s="399">
        <v>0</v>
      </c>
      <c r="M251" s="399">
        <v>0</v>
      </c>
      <c r="N251" s="399">
        <v>8.9499999999999993</v>
      </c>
      <c r="O251" s="399">
        <v>8.9499999999999993</v>
      </c>
      <c r="P251" s="399">
        <v>8.9499999999999993</v>
      </c>
      <c r="Q251" s="399">
        <v>8.9499999999999993</v>
      </c>
      <c r="R251" s="399"/>
      <c r="S251" s="399">
        <v>521.86</v>
      </c>
      <c r="T251" s="399">
        <v>141.32</v>
      </c>
      <c r="U251" s="399"/>
      <c r="V251" s="399">
        <v>5935.4609999999993</v>
      </c>
      <c r="W251" s="399">
        <v>5935.4609999999993</v>
      </c>
      <c r="X251" s="399">
        <v>4639.0535</v>
      </c>
      <c r="Y251" s="399">
        <v>0</v>
      </c>
      <c r="Z251" s="399">
        <v>543.05953031703882</v>
      </c>
      <c r="AA251" s="399">
        <v>0</v>
      </c>
      <c r="AB251" s="399">
        <v>0</v>
      </c>
      <c r="AC251" s="399">
        <v>0</v>
      </c>
      <c r="AD251" s="399">
        <v>962.6065298981232</v>
      </c>
      <c r="AE251" s="399">
        <v>2908.3096139794579</v>
      </c>
      <c r="AF251" s="399">
        <v>1264.8044237862748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83.968831523301901</v>
      </c>
      <c r="AM251" s="399"/>
      <c r="AN251" s="399">
        <v>12.412456817107961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160.24883719842046</v>
      </c>
      <c r="BH251" s="399">
        <v>0</v>
      </c>
      <c r="BI251" s="399">
        <v>0</v>
      </c>
      <c r="BJ251" s="399">
        <v>0</v>
      </c>
      <c r="BK251" s="399">
        <v>0</v>
      </c>
      <c r="BL251" s="399">
        <v>0</v>
      </c>
      <c r="BM251" s="399"/>
      <c r="BN251" s="399"/>
      <c r="BO251" s="399"/>
      <c r="BP251" s="399"/>
      <c r="BQ251" s="399"/>
      <c r="BR251" s="399">
        <v>556.68999999999994</v>
      </c>
      <c r="BS251" s="399"/>
      <c r="BT251" s="399"/>
      <c r="BU251" s="399"/>
      <c r="BV251" s="399">
        <v>1425.0532609846953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4082.3634999999995</v>
      </c>
      <c r="CJ251" s="399">
        <v>-1140.7970000000014</v>
      </c>
      <c r="CK251" s="399"/>
      <c r="CL251" s="399"/>
      <c r="CM251" s="399"/>
      <c r="CN251" s="399"/>
      <c r="CO251" s="399">
        <v>-1296.4075</v>
      </c>
      <c r="CP251" s="399">
        <v>0</v>
      </c>
      <c r="CQ251" s="399">
        <v>31</v>
      </c>
      <c r="CR251" s="399">
        <v>-39.878849365386941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-4.5846091537747498</v>
      </c>
      <c r="DA251" s="399">
        <v>0</v>
      </c>
      <c r="DB251" s="399">
        <v>0</v>
      </c>
      <c r="DC251" s="399">
        <v>0</v>
      </c>
      <c r="DD251" s="399">
        <v>0</v>
      </c>
      <c r="DE251" s="399">
        <v>0</v>
      </c>
      <c r="DF251" s="399">
        <v>0</v>
      </c>
      <c r="DG251" s="399">
        <v>0</v>
      </c>
      <c r="DH251" s="399">
        <v>0</v>
      </c>
      <c r="DI251" s="399">
        <v>-30.59796226258652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-4.1957715709513792</v>
      </c>
      <c r="DP251" s="399">
        <v>-0.50050637807414589</v>
      </c>
      <c r="DQ251" s="399">
        <v>0</v>
      </c>
      <c r="DR251" s="399">
        <v>0</v>
      </c>
      <c r="DS251" s="399"/>
      <c r="DT251" s="399"/>
      <c r="DU251" s="399"/>
      <c r="DV251" s="399">
        <v>2908.3096139794579</v>
      </c>
      <c r="DW251" s="399">
        <v>0</v>
      </c>
      <c r="DX251" s="399">
        <v>0</v>
      </c>
      <c r="DY251" s="399">
        <v>-1296.4075000000003</v>
      </c>
      <c r="DZ251" s="399">
        <v>0</v>
      </c>
      <c r="EA251" s="399">
        <v>0</v>
      </c>
      <c r="EB251" s="399">
        <v>0</v>
      </c>
      <c r="EC251" s="399">
        <v>-1256.4461282681164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218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2361</v>
      </c>
      <c r="C252" s="399" t="s">
        <v>2328</v>
      </c>
      <c r="D252" s="399" t="s">
        <v>2335</v>
      </c>
      <c r="E252" s="399" t="s">
        <v>894</v>
      </c>
      <c r="F252" s="399" t="s">
        <v>2342</v>
      </c>
      <c r="G252" s="399" t="s">
        <v>2340</v>
      </c>
      <c r="H252" s="399" t="s">
        <v>1239</v>
      </c>
      <c r="I252" s="399" t="s">
        <v>1239</v>
      </c>
      <c r="J252" s="399" t="s">
        <v>2329</v>
      </c>
      <c r="K252" s="789">
        <v>44562</v>
      </c>
      <c r="L252" s="399">
        <v>0</v>
      </c>
      <c r="M252" s="399">
        <v>0</v>
      </c>
      <c r="N252" s="399">
        <v>0.76900000000000002</v>
      </c>
      <c r="O252" s="399">
        <v>0.76900000000000002</v>
      </c>
      <c r="P252" s="399">
        <v>0.76900000000000002</v>
      </c>
      <c r="Q252" s="399">
        <v>0.76900000000000002</v>
      </c>
      <c r="R252" s="399"/>
      <c r="S252" s="399">
        <v>521.86</v>
      </c>
      <c r="T252" s="399">
        <v>141.32</v>
      </c>
      <c r="U252" s="399"/>
      <c r="V252" s="399">
        <v>509.98541999999998</v>
      </c>
      <c r="W252" s="399">
        <v>509.98541999999998</v>
      </c>
      <c r="X252" s="399">
        <v>398.59576999999996</v>
      </c>
      <c r="Y252" s="399">
        <v>0</v>
      </c>
      <c r="Z252" s="399">
        <v>46.660645677519881</v>
      </c>
      <c r="AA252" s="399">
        <v>0</v>
      </c>
      <c r="AB252" s="399">
        <v>0</v>
      </c>
      <c r="AC252" s="399">
        <v>0</v>
      </c>
      <c r="AD252" s="399">
        <v>82.708873909682325</v>
      </c>
      <c r="AE252" s="399">
        <v>249.88716124583277</v>
      </c>
      <c r="AF252" s="399">
        <v>108.67425719459725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7.2147521163596844</v>
      </c>
      <c r="AM252" s="399"/>
      <c r="AN252" s="399">
        <v>1.0665004795928517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13.768866570456462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>
        <v>47.831800000000001</v>
      </c>
      <c r="BS252" s="399"/>
      <c r="BT252" s="399"/>
      <c r="BU252" s="399"/>
      <c r="BV252" s="399">
        <v>122.44312376505371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351.2201</v>
      </c>
      <c r="CJ252" s="399">
        <v>-97.59060999999997</v>
      </c>
      <c r="CK252" s="399"/>
      <c r="CL252" s="399"/>
      <c r="CM252" s="399"/>
      <c r="CN252" s="399"/>
      <c r="CO252" s="399">
        <v>-111.38965000000002</v>
      </c>
      <c r="CP252" s="399">
        <v>0</v>
      </c>
      <c r="CQ252" s="399">
        <v>31</v>
      </c>
      <c r="CR252" s="399">
        <v>-3.4264620292718178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-0.39391781444165019</v>
      </c>
      <c r="DA252" s="399">
        <v>0</v>
      </c>
      <c r="DB252" s="399">
        <v>0</v>
      </c>
      <c r="DC252" s="399">
        <v>0</v>
      </c>
      <c r="DD252" s="399">
        <v>0</v>
      </c>
      <c r="DE252" s="399">
        <v>0</v>
      </c>
      <c r="DF252" s="399">
        <v>0</v>
      </c>
      <c r="DG252" s="399">
        <v>0</v>
      </c>
      <c r="DH252" s="399">
        <v>0</v>
      </c>
      <c r="DI252" s="399">
        <v>-2.6290316178691739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-0.36050819419682956</v>
      </c>
      <c r="DP252" s="399">
        <v>-4.3004402764136085E-2</v>
      </c>
      <c r="DQ252" s="399">
        <v>0</v>
      </c>
      <c r="DR252" s="399">
        <v>0</v>
      </c>
      <c r="DS252" s="399"/>
      <c r="DT252" s="399"/>
      <c r="DU252" s="399"/>
      <c r="DV252" s="399">
        <v>249.88716124583277</v>
      </c>
      <c r="DW252" s="399">
        <v>0</v>
      </c>
      <c r="DX252" s="399">
        <v>0</v>
      </c>
      <c r="DY252" s="399">
        <v>-111.38965000000002</v>
      </c>
      <c r="DZ252" s="399">
        <v>0</v>
      </c>
      <c r="EA252" s="399">
        <v>0</v>
      </c>
      <c r="EB252" s="399">
        <v>0</v>
      </c>
      <c r="EC252" s="399">
        <v>-107.95609750147278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218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956</v>
      </c>
      <c r="C253" s="399" t="s">
        <v>2328</v>
      </c>
      <c r="D253" s="399" t="s">
        <v>2335</v>
      </c>
      <c r="E253" s="399" t="s">
        <v>894</v>
      </c>
      <c r="F253" s="399" t="s">
        <v>2342</v>
      </c>
      <c r="G253" s="399" t="s">
        <v>2341</v>
      </c>
      <c r="H253" s="399" t="s">
        <v>1239</v>
      </c>
      <c r="I253" s="399" t="s">
        <v>1239</v>
      </c>
      <c r="J253" s="399" t="s">
        <v>2329</v>
      </c>
      <c r="K253" s="789">
        <v>44562</v>
      </c>
      <c r="L253" s="399">
        <v>0</v>
      </c>
      <c r="M253" s="399">
        <v>0</v>
      </c>
      <c r="N253" s="399">
        <v>11.555</v>
      </c>
      <c r="O253" s="399">
        <v>4.6219999999999999</v>
      </c>
      <c r="P253" s="399">
        <v>11.555</v>
      </c>
      <c r="Q253" s="399">
        <v>4.6219999999999999</v>
      </c>
      <c r="R253" s="399"/>
      <c r="S253" s="399">
        <v>521.86</v>
      </c>
      <c r="T253" s="399">
        <v>141.32</v>
      </c>
      <c r="U253" s="399"/>
      <c r="V253" s="399">
        <v>7663.0448999999999</v>
      </c>
      <c r="W253" s="399">
        <v>7663.0448999999999</v>
      </c>
      <c r="X253" s="399">
        <v>5989.3031499999997</v>
      </c>
      <c r="Y253" s="399">
        <v>0</v>
      </c>
      <c r="Z253" s="399">
        <v>701.12322601266862</v>
      </c>
      <c r="AA253" s="399">
        <v>0</v>
      </c>
      <c r="AB253" s="399">
        <v>0</v>
      </c>
      <c r="AC253" s="399">
        <v>0</v>
      </c>
      <c r="AD253" s="399">
        <v>1242.7841846896999</v>
      </c>
      <c r="AE253" s="399">
        <v>3754.8064345846524</v>
      </c>
      <c r="AF253" s="399">
        <v>1632.9402365195983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108.4089215923747</v>
      </c>
      <c r="AM253" s="399"/>
      <c r="AN253" s="399">
        <v>16.02524452756229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206.89109651706687</v>
      </c>
      <c r="BH253" s="399">
        <v>0</v>
      </c>
      <c r="BI253" s="399">
        <v>0</v>
      </c>
      <c r="BJ253" s="399">
        <v>0</v>
      </c>
      <c r="BK253" s="399">
        <v>0</v>
      </c>
      <c r="BL253" s="399">
        <v>0</v>
      </c>
      <c r="BM253" s="399"/>
      <c r="BN253" s="399"/>
      <c r="BO253" s="399"/>
      <c r="BP253" s="399"/>
      <c r="BQ253" s="399"/>
      <c r="BR253" s="399"/>
      <c r="BS253" s="399">
        <v>3881.0702899999997</v>
      </c>
      <c r="BT253" s="399"/>
      <c r="BU253" s="399"/>
      <c r="BV253" s="399">
        <v>1839.8313330366652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2107.3206</v>
      </c>
      <c r="CJ253" s="399">
        <v>-590.06238000000076</v>
      </c>
      <c r="CK253" s="399"/>
      <c r="CL253" s="399"/>
      <c r="CM253" s="399"/>
      <c r="CN253" s="399"/>
      <c r="CO253" s="399">
        <v>-1673.7417500000001</v>
      </c>
      <c r="CP253" s="399">
        <v>0</v>
      </c>
      <c r="CQ253" s="399">
        <v>31</v>
      </c>
      <c r="CR253" s="399">
        <v>-51.48604518626189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-5.9190121532813009</v>
      </c>
      <c r="DA253" s="399">
        <v>0</v>
      </c>
      <c r="DB253" s="399">
        <v>0</v>
      </c>
      <c r="DC253" s="399">
        <v>0</v>
      </c>
      <c r="DD253" s="399">
        <v>0</v>
      </c>
      <c r="DE253" s="399">
        <v>0</v>
      </c>
      <c r="DF253" s="399">
        <v>0</v>
      </c>
      <c r="DG253" s="399">
        <v>0</v>
      </c>
      <c r="DH253" s="399">
        <v>0</v>
      </c>
      <c r="DI253" s="399">
        <v>-39.50384960270253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-5.4169989388093001</v>
      </c>
      <c r="DP253" s="399">
        <v>-0.64618449146891166</v>
      </c>
      <c r="DQ253" s="399">
        <v>0</v>
      </c>
      <c r="DR253" s="399">
        <v>0</v>
      </c>
      <c r="DS253" s="399"/>
      <c r="DT253" s="399"/>
      <c r="DU253" s="399"/>
      <c r="DV253" s="399">
        <v>3754.8064345846524</v>
      </c>
      <c r="DW253" s="399">
        <v>0</v>
      </c>
      <c r="DX253" s="399">
        <v>0</v>
      </c>
      <c r="DY253" s="399">
        <v>-1673.7417500000001</v>
      </c>
      <c r="DZ253" s="399">
        <v>0</v>
      </c>
      <c r="EA253" s="399">
        <v>0</v>
      </c>
      <c r="EB253" s="399">
        <v>0</v>
      </c>
      <c r="EC253" s="399">
        <v>-1622.1491633673836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218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2361</v>
      </c>
      <c r="C254" s="399" t="s">
        <v>2328</v>
      </c>
      <c r="D254" s="399" t="s">
        <v>2335</v>
      </c>
      <c r="E254" s="399" t="s">
        <v>894</v>
      </c>
      <c r="F254" s="399" t="s">
        <v>2342</v>
      </c>
      <c r="G254" s="399" t="s">
        <v>2341</v>
      </c>
      <c r="H254" s="399" t="s">
        <v>1239</v>
      </c>
      <c r="I254" s="399" t="s">
        <v>1239</v>
      </c>
      <c r="J254" s="399" t="s">
        <v>2329</v>
      </c>
      <c r="K254" s="789">
        <v>44562</v>
      </c>
      <c r="L254" s="399">
        <v>0</v>
      </c>
      <c r="M254" s="399">
        <v>0</v>
      </c>
      <c r="N254" s="399">
        <v>5.0960000000000001</v>
      </c>
      <c r="O254" s="399">
        <v>2.0384000000000002</v>
      </c>
      <c r="P254" s="399">
        <v>5.0960000000000001</v>
      </c>
      <c r="Q254" s="399">
        <v>2.0384000000000002</v>
      </c>
      <c r="R254" s="399"/>
      <c r="S254" s="399">
        <v>521.86</v>
      </c>
      <c r="T254" s="399">
        <v>141.32</v>
      </c>
      <c r="U254" s="399"/>
      <c r="V254" s="399">
        <v>3379.5652799999998</v>
      </c>
      <c r="W254" s="399">
        <v>3379.5652799999998</v>
      </c>
      <c r="X254" s="399">
        <v>2641.4096799999998</v>
      </c>
      <c r="Y254" s="399">
        <v>0</v>
      </c>
      <c r="Z254" s="399">
        <v>309.21020854699782</v>
      </c>
      <c r="AA254" s="399">
        <v>0</v>
      </c>
      <c r="AB254" s="399">
        <v>0</v>
      </c>
      <c r="AC254" s="399">
        <v>0</v>
      </c>
      <c r="AD254" s="399">
        <v>548.09417612970242</v>
      </c>
      <c r="AE254" s="399">
        <v>1655.949250596572</v>
      </c>
      <c r="AF254" s="399">
        <v>720.16126744300072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47.810633010362743</v>
      </c>
      <c r="AM254" s="399"/>
      <c r="AN254" s="399">
        <v>7.0674726189924222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91.243360264039183</v>
      </c>
      <c r="BH254" s="399">
        <v>0</v>
      </c>
      <c r="BI254" s="399">
        <v>0</v>
      </c>
      <c r="BJ254" s="399">
        <v>0</v>
      </c>
      <c r="BK254" s="399">
        <v>0</v>
      </c>
      <c r="BL254" s="399">
        <v>0</v>
      </c>
      <c r="BM254" s="399"/>
      <c r="BN254" s="399"/>
      <c r="BO254" s="399"/>
      <c r="BP254" s="399"/>
      <c r="BQ254" s="399"/>
      <c r="BR254" s="399"/>
      <c r="BS254" s="399">
        <v>1711.6342879999997</v>
      </c>
      <c r="BT254" s="399"/>
      <c r="BU254" s="399"/>
      <c r="BV254" s="399">
        <v>811.40462770703994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930.50519999999995</v>
      </c>
      <c r="CJ254" s="399">
        <v>-259.11465600000008</v>
      </c>
      <c r="CK254" s="399"/>
      <c r="CL254" s="399"/>
      <c r="CM254" s="399"/>
      <c r="CN254" s="399"/>
      <c r="CO254" s="399">
        <v>-738.15560000000016</v>
      </c>
      <c r="CP254" s="399">
        <v>0</v>
      </c>
      <c r="CQ254" s="399">
        <v>31</v>
      </c>
      <c r="CR254" s="399">
        <v>-22.706437582794706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-2.6104098600710586</v>
      </c>
      <c r="DA254" s="399">
        <v>0</v>
      </c>
      <c r="DB254" s="399">
        <v>0</v>
      </c>
      <c r="DC254" s="399">
        <v>0</v>
      </c>
      <c r="DD254" s="399">
        <v>0</v>
      </c>
      <c r="DE254" s="399">
        <v>0</v>
      </c>
      <c r="DF254" s="399">
        <v>0</v>
      </c>
      <c r="DG254" s="399">
        <v>0</v>
      </c>
      <c r="DH254" s="399">
        <v>0</v>
      </c>
      <c r="DI254" s="399">
        <v>-17.422035272641494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-2.3890113883316531</v>
      </c>
      <c r="DP254" s="399">
        <v>-0.28498106175037474</v>
      </c>
      <c r="DQ254" s="399">
        <v>0</v>
      </c>
      <c r="DR254" s="399">
        <v>0</v>
      </c>
      <c r="DS254" s="399"/>
      <c r="DT254" s="399"/>
      <c r="DU254" s="399"/>
      <c r="DV254" s="399">
        <v>1655.949250596572</v>
      </c>
      <c r="DW254" s="399">
        <v>0</v>
      </c>
      <c r="DX254" s="399">
        <v>0</v>
      </c>
      <c r="DY254" s="399">
        <v>-738.15560000000005</v>
      </c>
      <c r="DZ254" s="399">
        <v>0</v>
      </c>
      <c r="EA254" s="399">
        <v>0</v>
      </c>
      <c r="EB254" s="399">
        <v>0</v>
      </c>
      <c r="EC254" s="399">
        <v>-715.4021753803712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218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956</v>
      </c>
      <c r="C255" s="399" t="s">
        <v>2328</v>
      </c>
      <c r="D255" s="399" t="s">
        <v>1823</v>
      </c>
      <c r="E255" s="399" t="s">
        <v>889</v>
      </c>
      <c r="F255" s="399" t="s">
        <v>889</v>
      </c>
      <c r="G255" s="399" t="s">
        <v>1239</v>
      </c>
      <c r="H255" s="399" t="s">
        <v>1239</v>
      </c>
      <c r="I255" s="399" t="s">
        <v>1239</v>
      </c>
      <c r="J255" s="399" t="s">
        <v>2329</v>
      </c>
      <c r="K255" s="789">
        <v>44593</v>
      </c>
      <c r="L255" s="399">
        <v>0</v>
      </c>
      <c r="M255" s="399">
        <v>0</v>
      </c>
      <c r="N255" s="399">
        <v>1162.933</v>
      </c>
      <c r="O255" s="399">
        <v>1162.933</v>
      </c>
      <c r="P255" s="399">
        <v>1162.933</v>
      </c>
      <c r="Q255" s="399">
        <v>1162.933</v>
      </c>
      <c r="R255" s="399"/>
      <c r="S255" s="399">
        <v>521.86</v>
      </c>
      <c r="T255" s="399">
        <v>141.32</v>
      </c>
      <c r="U255" s="399"/>
      <c r="V255" s="399">
        <v>771233.90694000002</v>
      </c>
      <c r="W255" s="399">
        <v>771233.90694000002</v>
      </c>
      <c r="X255" s="399">
        <v>602783.06189000001</v>
      </c>
      <c r="Y255" s="399">
        <v>0</v>
      </c>
      <c r="Z255" s="399">
        <v>70563.335058121229</v>
      </c>
      <c r="AA255" s="399">
        <v>0</v>
      </c>
      <c r="AB255" s="399">
        <v>0</v>
      </c>
      <c r="AC255" s="399">
        <v>0</v>
      </c>
      <c r="AD255" s="399">
        <v>125077.86588089544</v>
      </c>
      <c r="AE255" s="399">
        <v>377896.00271664502</v>
      </c>
      <c r="AF255" s="399">
        <v>164344.44725888758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10910.628508367381</v>
      </c>
      <c r="AM255" s="399"/>
      <c r="AN255" s="399">
        <v>1612.8330328145043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20822.196758622424</v>
      </c>
      <c r="BH255" s="399">
        <v>0</v>
      </c>
      <c r="BI255" s="399">
        <v>5155.88</v>
      </c>
      <c r="BJ255" s="399">
        <v>23908.42</v>
      </c>
      <c r="BK255" s="399">
        <v>182100.57</v>
      </c>
      <c r="BL255" s="399">
        <v>4859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>
        <v>185166.64401751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602781.50690000004</v>
      </c>
      <c r="CJ255" s="399">
        <v>-168452.43004000001</v>
      </c>
      <c r="CK255" s="399"/>
      <c r="CL255" s="399"/>
      <c r="CM255" s="399"/>
      <c r="CN255" s="399"/>
      <c r="CO255" s="399">
        <v>-168450.84505000003</v>
      </c>
      <c r="CP255" s="399">
        <v>0</v>
      </c>
      <c r="CQ255" s="399">
        <v>29</v>
      </c>
      <c r="CR255" s="399">
        <v>-5181.7240144176176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-595.70874603650009</v>
      </c>
      <c r="DA255" s="399">
        <v>0</v>
      </c>
      <c r="DB255" s="399">
        <v>0</v>
      </c>
      <c r="DC255" s="399">
        <v>0</v>
      </c>
      <c r="DD255" s="399">
        <v>0</v>
      </c>
      <c r="DE255" s="399">
        <v>0</v>
      </c>
      <c r="DF255" s="399">
        <v>0</v>
      </c>
      <c r="DG255" s="399">
        <v>0</v>
      </c>
      <c r="DH255" s="399">
        <v>0</v>
      </c>
      <c r="DI255" s="399">
        <v>-3975.7966533985018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-545.1844938906379</v>
      </c>
      <c r="DP255" s="399">
        <v>-65.034121091944371</v>
      </c>
      <c r="DQ255" s="399">
        <v>0</v>
      </c>
      <c r="DR255" s="399">
        <v>0</v>
      </c>
      <c r="DS255" s="399"/>
      <c r="DT255" s="399"/>
      <c r="DU255" s="399"/>
      <c r="DV255" s="399">
        <v>377896.00271664502</v>
      </c>
      <c r="DW255" s="399">
        <v>0</v>
      </c>
      <c r="DX255" s="399">
        <v>0</v>
      </c>
      <c r="DY255" s="399">
        <v>-168450.84505000006</v>
      </c>
      <c r="DZ255" s="399">
        <v>0</v>
      </c>
      <c r="EA255" s="399">
        <v>0</v>
      </c>
      <c r="EB255" s="399">
        <v>0</v>
      </c>
      <c r="EC255" s="399">
        <v>-163258.39835589108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218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2360</v>
      </c>
      <c r="C256" s="399" t="s">
        <v>2328</v>
      </c>
      <c r="D256" s="399" t="s">
        <v>1823</v>
      </c>
      <c r="E256" s="399" t="s">
        <v>889</v>
      </c>
      <c r="F256" s="399" t="s">
        <v>889</v>
      </c>
      <c r="G256" s="399" t="s">
        <v>1239</v>
      </c>
      <c r="H256" s="399" t="s">
        <v>1239</v>
      </c>
      <c r="I256" s="399" t="s">
        <v>1239</v>
      </c>
      <c r="J256" s="399" t="s">
        <v>2329</v>
      </c>
      <c r="K256" s="789">
        <v>44593</v>
      </c>
      <c r="L256" s="399">
        <v>0</v>
      </c>
      <c r="M256" s="399">
        <v>0</v>
      </c>
      <c r="N256" s="399">
        <v>-2.286</v>
      </c>
      <c r="O256" s="399">
        <v>-2.286</v>
      </c>
      <c r="P256" s="399">
        <v>-2.286</v>
      </c>
      <c r="Q256" s="399">
        <v>-2.286</v>
      </c>
      <c r="R256" s="399"/>
      <c r="S256" s="399">
        <v>521.86</v>
      </c>
      <c r="T256" s="399">
        <v>141.32</v>
      </c>
      <c r="U256" s="399"/>
      <c r="V256" s="399">
        <v>-1516.0294800000001</v>
      </c>
      <c r="W256" s="399">
        <v>-1516.0294800000001</v>
      </c>
      <c r="X256" s="399">
        <v>-1184.90238</v>
      </c>
      <c r="Y256" s="399">
        <v>0</v>
      </c>
      <c r="Z256" s="399">
        <v>-138.70771914019565</v>
      </c>
      <c r="AA256" s="399">
        <v>0</v>
      </c>
      <c r="AB256" s="399">
        <v>0</v>
      </c>
      <c r="AC256" s="399">
        <v>0</v>
      </c>
      <c r="AD256" s="399">
        <v>-245.86799188235864</v>
      </c>
      <c r="AE256" s="399">
        <v>-742.83751704547944</v>
      </c>
      <c r="AF256" s="399">
        <v>-323.05507405312005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-21.447234509750633</v>
      </c>
      <c r="AM256" s="399"/>
      <c r="AN256" s="399">
        <v>-3.1703772384255644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-40.930596853138454</v>
      </c>
      <c r="BH256" s="399">
        <v>0</v>
      </c>
      <c r="BI256" s="399">
        <v>-10.17</v>
      </c>
      <c r="BJ256" s="399">
        <v>-47.01</v>
      </c>
      <c r="BK256" s="399">
        <v>-495.21</v>
      </c>
      <c r="BL256" s="399">
        <v>0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>
        <v>-363.98567090625852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-1186.9757</v>
      </c>
      <c r="CJ256" s="399">
        <v>329.02378000000022</v>
      </c>
      <c r="CK256" s="399"/>
      <c r="CL256" s="399"/>
      <c r="CM256" s="399"/>
      <c r="CN256" s="399"/>
      <c r="CO256" s="399">
        <v>331.12710000000004</v>
      </c>
      <c r="CP256" s="399">
        <v>0</v>
      </c>
      <c r="CQ256" s="399">
        <v>29</v>
      </c>
      <c r="CR256" s="399">
        <v>10.185815603270839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1.1709962598356469</v>
      </c>
      <c r="DA256" s="399">
        <v>0</v>
      </c>
      <c r="DB256" s="399">
        <v>0</v>
      </c>
      <c r="DC256" s="399">
        <v>0</v>
      </c>
      <c r="DD256" s="399">
        <v>0</v>
      </c>
      <c r="DE256" s="399">
        <v>0</v>
      </c>
      <c r="DF256" s="399">
        <v>0</v>
      </c>
      <c r="DG256" s="399">
        <v>0</v>
      </c>
      <c r="DH256" s="399">
        <v>0</v>
      </c>
      <c r="DI256" s="399">
        <v>7.8153007522092821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1.0716797554407655</v>
      </c>
      <c r="DP256" s="399">
        <v>0.12783883578519539</v>
      </c>
      <c r="DQ256" s="399">
        <v>0</v>
      </c>
      <c r="DR256" s="399">
        <v>0</v>
      </c>
      <c r="DS256" s="399"/>
      <c r="DT256" s="399"/>
      <c r="DU256" s="399"/>
      <c r="DV256" s="399">
        <v>-742.83751704547944</v>
      </c>
      <c r="DW256" s="399">
        <v>0</v>
      </c>
      <c r="DX256" s="399">
        <v>0</v>
      </c>
      <c r="DY256" s="399">
        <v>331.12710000000004</v>
      </c>
      <c r="DZ256" s="399">
        <v>0</v>
      </c>
      <c r="EA256" s="399">
        <v>0</v>
      </c>
      <c r="EB256" s="399">
        <v>0</v>
      </c>
      <c r="EC256" s="399">
        <v>320.92020661686189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218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2361</v>
      </c>
      <c r="C257" s="399" t="s">
        <v>2328</v>
      </c>
      <c r="D257" s="399" t="s">
        <v>1823</v>
      </c>
      <c r="E257" s="399" t="s">
        <v>889</v>
      </c>
      <c r="F257" s="399" t="s">
        <v>889</v>
      </c>
      <c r="G257" s="399" t="s">
        <v>1239</v>
      </c>
      <c r="H257" s="399" t="s">
        <v>1239</v>
      </c>
      <c r="I257" s="399" t="s">
        <v>1239</v>
      </c>
      <c r="J257" s="399" t="s">
        <v>2329</v>
      </c>
      <c r="K257" s="789">
        <v>44593</v>
      </c>
      <c r="L257" s="399">
        <v>0</v>
      </c>
      <c r="M257" s="399">
        <v>0</v>
      </c>
      <c r="N257" s="399">
        <v>21.239000000000001</v>
      </c>
      <c r="O257" s="399">
        <v>21.239000000000001</v>
      </c>
      <c r="P257" s="399">
        <v>21.239000000000001</v>
      </c>
      <c r="Q257" s="399">
        <v>21.239000000000001</v>
      </c>
      <c r="R257" s="399"/>
      <c r="S257" s="399">
        <v>521.86</v>
      </c>
      <c r="T257" s="399">
        <v>141.32</v>
      </c>
      <c r="U257" s="399"/>
      <c r="V257" s="399">
        <v>14085.28002</v>
      </c>
      <c r="W257" s="399">
        <v>14085.28002</v>
      </c>
      <c r="X257" s="399">
        <v>11008.810869999999</v>
      </c>
      <c r="Y257" s="399">
        <v>0</v>
      </c>
      <c r="Z257" s="399">
        <v>1288.7197055199542</v>
      </c>
      <c r="AA257" s="399">
        <v>0</v>
      </c>
      <c r="AB257" s="399">
        <v>0</v>
      </c>
      <c r="AC257" s="399">
        <v>0</v>
      </c>
      <c r="AD257" s="399">
        <v>2284.3352054196916</v>
      </c>
      <c r="AE257" s="399">
        <v>6901.6299319899117</v>
      </c>
      <c r="AF257" s="399">
        <v>3001.4727549493509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199.26413549982229</v>
      </c>
      <c r="AM257" s="399"/>
      <c r="AN257" s="399">
        <v>29.455661490341456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380.28212885555894</v>
      </c>
      <c r="BH257" s="399">
        <v>0</v>
      </c>
      <c r="BI257" s="399">
        <v>94.15</v>
      </c>
      <c r="BJ257" s="399">
        <v>436.53</v>
      </c>
      <c r="BK257" s="399">
        <v>7878.39</v>
      </c>
      <c r="BL257" s="399">
        <v>111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3381.7548838049097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11009.329199999998</v>
      </c>
      <c r="CJ257" s="399">
        <v>-3075.9808200000025</v>
      </c>
      <c r="CK257" s="399"/>
      <c r="CL257" s="399"/>
      <c r="CM257" s="399"/>
      <c r="CN257" s="399"/>
      <c r="CO257" s="399">
        <v>-3076.4691500000008</v>
      </c>
      <c r="CP257" s="399">
        <v>0</v>
      </c>
      <c r="CQ257" s="399">
        <v>29</v>
      </c>
      <c r="CR257" s="399">
        <v>-94.635405773346065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-10.879610482348653</v>
      </c>
      <c r="DA257" s="399">
        <v>0</v>
      </c>
      <c r="DB257" s="399">
        <v>0</v>
      </c>
      <c r="DC257" s="399">
        <v>0</v>
      </c>
      <c r="DD257" s="399">
        <v>0</v>
      </c>
      <c r="DE257" s="399">
        <v>0</v>
      </c>
      <c r="DF257" s="399">
        <v>0</v>
      </c>
      <c r="DG257" s="399">
        <v>0</v>
      </c>
      <c r="DH257" s="399">
        <v>0</v>
      </c>
      <c r="DI257" s="399">
        <v>-72.611186647494605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-9.9568706587079987</v>
      </c>
      <c r="DP257" s="399">
        <v>-1.1877379847951737</v>
      </c>
      <c r="DQ257" s="399">
        <v>0</v>
      </c>
      <c r="DR257" s="399">
        <v>0</v>
      </c>
      <c r="DS257" s="399"/>
      <c r="DT257" s="399"/>
      <c r="DU257" s="399"/>
      <c r="DV257" s="399">
        <v>6901.6299319899117</v>
      </c>
      <c r="DW257" s="399">
        <v>0</v>
      </c>
      <c r="DX257" s="399">
        <v>0</v>
      </c>
      <c r="DY257" s="399">
        <v>-3076.4691500000008</v>
      </c>
      <c r="DZ257" s="399">
        <v>0</v>
      </c>
      <c r="EA257" s="399">
        <v>0</v>
      </c>
      <c r="EB257" s="399">
        <v>0</v>
      </c>
      <c r="EC257" s="399">
        <v>-2981.6379126577117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218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956</v>
      </c>
      <c r="C258" s="399" t="s">
        <v>2328</v>
      </c>
      <c r="D258" s="399" t="s">
        <v>1823</v>
      </c>
      <c r="E258" s="399" t="s">
        <v>889</v>
      </c>
      <c r="F258" s="399" t="s">
        <v>2330</v>
      </c>
      <c r="G258" s="399" t="s">
        <v>1239</v>
      </c>
      <c r="H258" s="399" t="s">
        <v>1239</v>
      </c>
      <c r="I258" s="399" t="s">
        <v>1239</v>
      </c>
      <c r="J258" s="399" t="s">
        <v>2329</v>
      </c>
      <c r="K258" s="789">
        <v>44593</v>
      </c>
      <c r="L258" s="399">
        <v>0</v>
      </c>
      <c r="M258" s="399">
        <v>0</v>
      </c>
      <c r="N258" s="399">
        <v>2.25</v>
      </c>
      <c r="O258" s="399">
        <v>2.25</v>
      </c>
      <c r="P258" s="399">
        <v>2.25</v>
      </c>
      <c r="Q258" s="399">
        <v>2.25</v>
      </c>
      <c r="R258" s="399"/>
      <c r="S258" s="399">
        <v>451.8</v>
      </c>
      <c r="T258" s="399">
        <v>141.32</v>
      </c>
      <c r="U258" s="399"/>
      <c r="V258" s="399">
        <v>1334.52</v>
      </c>
      <c r="W258" s="399">
        <v>1334.52</v>
      </c>
      <c r="X258" s="399">
        <v>1017.3599999999999</v>
      </c>
      <c r="Y258" s="399">
        <v>0</v>
      </c>
      <c r="Z258" s="399">
        <v>0</v>
      </c>
      <c r="AA258" s="399">
        <v>0</v>
      </c>
      <c r="AB258" s="399">
        <v>0</v>
      </c>
      <c r="AC258" s="399">
        <v>0</v>
      </c>
      <c r="AD258" s="399">
        <v>241.9960550023215</v>
      </c>
      <c r="AE258" s="399">
        <v>731.13928843059</v>
      </c>
      <c r="AF258" s="399">
        <v>317.96759257196851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0</v>
      </c>
      <c r="AM258" s="399"/>
      <c r="AN258" s="399">
        <v>3.1204500378204374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40.286020524742575</v>
      </c>
      <c r="BH258" s="399">
        <v>0</v>
      </c>
      <c r="BI258" s="399">
        <v>7.5</v>
      </c>
      <c r="BJ258" s="399">
        <v>36</v>
      </c>
      <c r="BK258" s="399">
        <v>54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>
        <v>661.27499999999986</v>
      </c>
      <c r="BU258" s="399"/>
      <c r="BV258" s="399">
        <v>358.25361309671109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356.08499999999998</v>
      </c>
      <c r="CJ258" s="399">
        <v>-111.02249999999998</v>
      </c>
      <c r="CK258" s="399"/>
      <c r="CL258" s="399"/>
      <c r="CM258" s="399"/>
      <c r="CN258" s="399"/>
      <c r="CO258" s="399">
        <v>-317.16000000000008</v>
      </c>
      <c r="CP258" s="399">
        <v>0</v>
      </c>
      <c r="CQ258" s="399">
        <v>29</v>
      </c>
      <c r="CR258" s="399">
        <v>-1.2783809996267337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-1.1525553738539998</v>
      </c>
      <c r="DA258" s="399">
        <v>0</v>
      </c>
      <c r="DB258" s="399">
        <v>0</v>
      </c>
      <c r="DC258" s="399">
        <v>0</v>
      </c>
      <c r="DD258" s="399">
        <v>0</v>
      </c>
      <c r="DE258" s="399">
        <v>0</v>
      </c>
      <c r="DF258" s="399">
        <v>0</v>
      </c>
      <c r="DG258" s="399">
        <v>0</v>
      </c>
      <c r="DH258" s="399">
        <v>0</v>
      </c>
      <c r="DI258" s="399">
        <v>0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0</v>
      </c>
      <c r="DP258" s="399">
        <v>-0.12582562577282985</v>
      </c>
      <c r="DQ258" s="399">
        <v>0</v>
      </c>
      <c r="DR258" s="399">
        <v>0</v>
      </c>
      <c r="DS258" s="399"/>
      <c r="DT258" s="399"/>
      <c r="DU258" s="399"/>
      <c r="DV258" s="399">
        <v>731.13928843059</v>
      </c>
      <c r="DW258" s="399">
        <v>0</v>
      </c>
      <c r="DX258" s="399">
        <v>0</v>
      </c>
      <c r="DY258" s="399">
        <v>-317.16000000000008</v>
      </c>
      <c r="DZ258" s="399">
        <v>0</v>
      </c>
      <c r="EA258" s="399">
        <v>0</v>
      </c>
      <c r="EB258" s="399">
        <v>0</v>
      </c>
      <c r="EC258" s="399">
        <v>-315.8663450953365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218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2361</v>
      </c>
      <c r="C259" s="399" t="s">
        <v>2328</v>
      </c>
      <c r="D259" s="399" t="s">
        <v>1823</v>
      </c>
      <c r="E259" s="399" t="s">
        <v>889</v>
      </c>
      <c r="F259" s="399" t="s">
        <v>2330</v>
      </c>
      <c r="G259" s="399" t="s">
        <v>1239</v>
      </c>
      <c r="H259" s="399" t="s">
        <v>1239</v>
      </c>
      <c r="I259" s="399" t="s">
        <v>1239</v>
      </c>
      <c r="J259" s="399" t="s">
        <v>2329</v>
      </c>
      <c r="K259" s="789">
        <v>44593</v>
      </c>
      <c r="L259" s="399">
        <v>0</v>
      </c>
      <c r="M259" s="399">
        <v>0</v>
      </c>
      <c r="N259" s="399">
        <v>0.01</v>
      </c>
      <c r="O259" s="399">
        <v>3.5000000000000001E-3</v>
      </c>
      <c r="P259" s="399">
        <v>0.01</v>
      </c>
      <c r="Q259" s="399">
        <v>3.5000000000000001E-3</v>
      </c>
      <c r="R259" s="399"/>
      <c r="S259" s="399">
        <v>451.8</v>
      </c>
      <c r="T259" s="399">
        <v>141.32</v>
      </c>
      <c r="U259" s="399"/>
      <c r="V259" s="399">
        <v>5.9311999999999996</v>
      </c>
      <c r="W259" s="399">
        <v>5.9311999999999996</v>
      </c>
      <c r="X259" s="399">
        <v>4.5215999999999994</v>
      </c>
      <c r="Y259" s="399">
        <v>0</v>
      </c>
      <c r="Z259" s="399">
        <v>0</v>
      </c>
      <c r="AA259" s="399">
        <v>0</v>
      </c>
      <c r="AB259" s="399">
        <v>0</v>
      </c>
      <c r="AC259" s="399">
        <v>0</v>
      </c>
      <c r="AD259" s="399">
        <v>1.0755380222325399</v>
      </c>
      <c r="AE259" s="399">
        <v>3.2495079485804004</v>
      </c>
      <c r="AF259" s="399">
        <v>1.4131893003198601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0</v>
      </c>
      <c r="AM259" s="399"/>
      <c r="AN259" s="399">
        <v>1.3868666834757499E-2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0.179048980109967</v>
      </c>
      <c r="BH259" s="399">
        <v>0</v>
      </c>
      <c r="BI259" s="399">
        <v>0.03</v>
      </c>
      <c r="BJ259" s="399">
        <v>0.16</v>
      </c>
      <c r="BK259" s="399">
        <v>0.53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>
        <v>3.9676899999999993</v>
      </c>
      <c r="BU259" s="399"/>
      <c r="BV259" s="399">
        <v>1.5922382804298272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0</v>
      </c>
      <c r="CJ259" s="399">
        <v>-0.75656500000000004</v>
      </c>
      <c r="CK259" s="399"/>
      <c r="CL259" s="399"/>
      <c r="CM259" s="399"/>
      <c r="CN259" s="399"/>
      <c r="CO259" s="399">
        <v>-1.4096000000000004</v>
      </c>
      <c r="CP259" s="399">
        <v>0</v>
      </c>
      <c r="CQ259" s="399">
        <v>29</v>
      </c>
      <c r="CR259" s="399">
        <v>-5.6816933316747864E-3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-5.1224683282398153E-3</v>
      </c>
      <c r="DA259" s="399">
        <v>0</v>
      </c>
      <c r="DB259" s="399">
        <v>0</v>
      </c>
      <c r="DC259" s="399">
        <v>0</v>
      </c>
      <c r="DD259" s="399">
        <v>0</v>
      </c>
      <c r="DE259" s="399">
        <v>0</v>
      </c>
      <c r="DF259" s="399">
        <v>0</v>
      </c>
      <c r="DG259" s="399">
        <v>0</v>
      </c>
      <c r="DH259" s="399">
        <v>0</v>
      </c>
      <c r="DI259" s="399">
        <v>0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0</v>
      </c>
      <c r="DP259" s="399">
        <v>-5.5922500343479932E-4</v>
      </c>
      <c r="DQ259" s="399">
        <v>0</v>
      </c>
      <c r="DR259" s="399">
        <v>0</v>
      </c>
      <c r="DS259" s="399"/>
      <c r="DT259" s="399"/>
      <c r="DU259" s="399"/>
      <c r="DV259" s="399">
        <v>3.2495079485804004</v>
      </c>
      <c r="DW259" s="399">
        <v>0</v>
      </c>
      <c r="DX259" s="399">
        <v>0</v>
      </c>
      <c r="DY259" s="399">
        <v>-1.4096000000000002</v>
      </c>
      <c r="DZ259" s="399">
        <v>0</v>
      </c>
      <c r="EA259" s="399">
        <v>0</v>
      </c>
      <c r="EB259" s="399">
        <v>0</v>
      </c>
      <c r="EC259" s="399">
        <v>-1.4038504226459403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218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956</v>
      </c>
      <c r="C260" s="399" t="s">
        <v>2328</v>
      </c>
      <c r="D260" s="399" t="s">
        <v>1823</v>
      </c>
      <c r="E260" s="399" t="s">
        <v>889</v>
      </c>
      <c r="F260" s="399" t="s">
        <v>2331</v>
      </c>
      <c r="G260" s="399" t="s">
        <v>1239</v>
      </c>
      <c r="H260" s="399" t="s">
        <v>1239</v>
      </c>
      <c r="I260" s="399" t="s">
        <v>1239</v>
      </c>
      <c r="J260" s="399" t="s">
        <v>2329</v>
      </c>
      <c r="K260" s="789">
        <v>44593</v>
      </c>
      <c r="L260" s="399">
        <v>0</v>
      </c>
      <c r="M260" s="399">
        <v>0</v>
      </c>
      <c r="N260" s="399">
        <v>4.7779999999999996</v>
      </c>
      <c r="O260" s="399">
        <v>4.7779999999999996</v>
      </c>
      <c r="P260" s="399">
        <v>4.7779999999999996</v>
      </c>
      <c r="Q260" s="399">
        <v>4.7779999999999996</v>
      </c>
      <c r="R260" s="399"/>
      <c r="S260" s="399">
        <v>451.8</v>
      </c>
      <c r="T260" s="399">
        <v>141.32</v>
      </c>
      <c r="U260" s="399"/>
      <c r="V260" s="399">
        <v>2833.9273599999997</v>
      </c>
      <c r="W260" s="399">
        <v>2833.9273599999997</v>
      </c>
      <c r="X260" s="399">
        <v>2160.4204799999998</v>
      </c>
      <c r="Y260" s="399">
        <v>0</v>
      </c>
      <c r="Z260" s="399">
        <v>0</v>
      </c>
      <c r="AA260" s="399">
        <v>0</v>
      </c>
      <c r="AB260" s="399">
        <v>0</v>
      </c>
      <c r="AC260" s="399">
        <v>0</v>
      </c>
      <c r="AD260" s="399">
        <v>513.89206702270758</v>
      </c>
      <c r="AE260" s="399">
        <v>1552.6148978317151</v>
      </c>
      <c r="AF260" s="399">
        <v>675.2218476928291</v>
      </c>
      <c r="AG260" s="399">
        <v>0</v>
      </c>
      <c r="AH260" s="399">
        <v>0</v>
      </c>
      <c r="AI260" s="399">
        <v>0</v>
      </c>
      <c r="AJ260" s="399">
        <v>0</v>
      </c>
      <c r="AK260" s="399">
        <v>0</v>
      </c>
      <c r="AL260" s="399">
        <v>0</v>
      </c>
      <c r="AM260" s="399"/>
      <c r="AN260" s="399">
        <v>6.6264490136471323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85.549602696542223</v>
      </c>
      <c r="BH260" s="399">
        <v>0</v>
      </c>
      <c r="BI260" s="399">
        <v>16.59</v>
      </c>
      <c r="BJ260" s="399">
        <v>77.599999999999994</v>
      </c>
      <c r="BK260" s="399">
        <v>189.71</v>
      </c>
      <c r="BL260" s="399">
        <v>17</v>
      </c>
      <c r="BM260" s="399"/>
      <c r="BN260" s="399"/>
      <c r="BO260" s="399"/>
      <c r="BP260" s="399"/>
      <c r="BQ260" s="399"/>
      <c r="BR260" s="399"/>
      <c r="BS260" s="399"/>
      <c r="BT260" s="399">
        <v>864.14907999999969</v>
      </c>
      <c r="BU260" s="399"/>
      <c r="BV260" s="399">
        <v>760.77145038937135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1296.8140000000001</v>
      </c>
      <c r="CJ260" s="399">
        <v>-403.56285999999977</v>
      </c>
      <c r="CK260" s="399"/>
      <c r="CL260" s="399"/>
      <c r="CM260" s="399"/>
      <c r="CN260" s="399"/>
      <c r="CO260" s="399">
        <v>-673.50688000000014</v>
      </c>
      <c r="CP260" s="399">
        <v>0</v>
      </c>
      <c r="CQ260" s="399">
        <v>29</v>
      </c>
      <c r="CR260" s="399">
        <v>-2.7147130738740088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-2.4475153672330521</v>
      </c>
      <c r="DA260" s="399">
        <v>0</v>
      </c>
      <c r="DB260" s="399">
        <v>0</v>
      </c>
      <c r="DC260" s="399">
        <v>0</v>
      </c>
      <c r="DD260" s="399">
        <v>0</v>
      </c>
      <c r="DE260" s="399">
        <v>0</v>
      </c>
      <c r="DF260" s="399">
        <v>0</v>
      </c>
      <c r="DG260" s="399">
        <v>0</v>
      </c>
      <c r="DH260" s="399">
        <v>0</v>
      </c>
      <c r="DI260" s="399">
        <v>0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0</v>
      </c>
      <c r="DP260" s="399">
        <v>-0.26719770664114684</v>
      </c>
      <c r="DQ260" s="399">
        <v>0</v>
      </c>
      <c r="DR260" s="399">
        <v>0</v>
      </c>
      <c r="DS260" s="399"/>
      <c r="DT260" s="399"/>
      <c r="DU260" s="399"/>
      <c r="DV260" s="399">
        <v>1552.6148978317151</v>
      </c>
      <c r="DW260" s="399">
        <v>0</v>
      </c>
      <c r="DX260" s="399">
        <v>0</v>
      </c>
      <c r="DY260" s="399">
        <v>-673.50687999999991</v>
      </c>
      <c r="DZ260" s="399">
        <v>0</v>
      </c>
      <c r="EA260" s="399">
        <v>0</v>
      </c>
      <c r="EB260" s="399">
        <v>0</v>
      </c>
      <c r="EC260" s="399">
        <v>-670.75973194023015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218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2361</v>
      </c>
      <c r="C261" s="399" t="s">
        <v>2328</v>
      </c>
      <c r="D261" s="399" t="s">
        <v>1823</v>
      </c>
      <c r="E261" s="399" t="s">
        <v>889</v>
      </c>
      <c r="F261" s="399" t="s">
        <v>2331</v>
      </c>
      <c r="G261" s="399" t="s">
        <v>1239</v>
      </c>
      <c r="H261" s="399" t="s">
        <v>1239</v>
      </c>
      <c r="I261" s="399" t="s">
        <v>1239</v>
      </c>
      <c r="J261" s="399" t="s">
        <v>2329</v>
      </c>
      <c r="K261" s="789">
        <v>44593</v>
      </c>
      <c r="L261" s="399">
        <v>0</v>
      </c>
      <c r="M261" s="399">
        <v>0</v>
      </c>
      <c r="N261" s="399">
        <v>0</v>
      </c>
      <c r="O261" s="399">
        <v>0</v>
      </c>
      <c r="P261" s="399">
        <v>0</v>
      </c>
      <c r="Q261" s="399">
        <v>0</v>
      </c>
      <c r="R261" s="399"/>
      <c r="S261" s="399"/>
      <c r="T261" s="399"/>
      <c r="U261" s="399"/>
      <c r="V261" s="399"/>
      <c r="W261" s="399"/>
      <c r="X261" s="399"/>
      <c r="Y261" s="399"/>
      <c r="Z261" s="399"/>
      <c r="AA261" s="399">
        <v>0</v>
      </c>
      <c r="AB261" s="399"/>
      <c r="AC261" s="399"/>
      <c r="AD261" s="399"/>
      <c r="AE261" s="399"/>
      <c r="AF261" s="399"/>
      <c r="AG261" s="399"/>
      <c r="AH261" s="399"/>
      <c r="AI261" s="399"/>
      <c r="AJ261" s="399"/>
      <c r="AK261" s="399"/>
      <c r="AL261" s="399"/>
      <c r="AM261" s="399"/>
      <c r="AN261" s="399"/>
      <c r="AO261" s="399"/>
      <c r="AP261" s="399"/>
      <c r="AQ261" s="399"/>
      <c r="AR261" s="399"/>
      <c r="AS261" s="399"/>
      <c r="AT261" s="399"/>
      <c r="AU261" s="399"/>
      <c r="AV261" s="399"/>
      <c r="AW261" s="399"/>
      <c r="AX261" s="399"/>
      <c r="AY261" s="399"/>
      <c r="AZ261" s="399">
        <v>0</v>
      </c>
      <c r="BA261" s="399"/>
      <c r="BB261" s="399"/>
      <c r="BC261" s="399"/>
      <c r="BD261" s="399"/>
      <c r="BE261" s="399"/>
      <c r="BF261" s="399"/>
      <c r="BG261" s="399"/>
      <c r="BH261" s="399"/>
      <c r="BI261" s="399">
        <v>0</v>
      </c>
      <c r="BJ261" s="399">
        <v>0</v>
      </c>
      <c r="BK261" s="399">
        <v>1.78</v>
      </c>
      <c r="BL261" s="399">
        <v>0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/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/>
      <c r="CJ261" s="399">
        <v>-0.03</v>
      </c>
      <c r="CK261" s="399"/>
      <c r="CL261" s="399"/>
      <c r="CM261" s="399"/>
      <c r="CN261" s="399"/>
      <c r="CO261" s="399">
        <v>0</v>
      </c>
      <c r="CP261" s="399">
        <v>0</v>
      </c>
      <c r="CQ261" s="399">
        <v>29</v>
      </c>
      <c r="CR261" s="399"/>
      <c r="CS261" s="399"/>
      <c r="CT261" s="399"/>
      <c r="CU261" s="399"/>
      <c r="CV261" s="399"/>
      <c r="CW261" s="399"/>
      <c r="CX261" s="399"/>
      <c r="CY261" s="399"/>
      <c r="CZ261" s="399"/>
      <c r="DA261" s="399"/>
      <c r="DB261" s="399"/>
      <c r="DC261" s="399"/>
      <c r="DD261" s="399"/>
      <c r="DE261" s="399"/>
      <c r="DF261" s="399"/>
      <c r="DG261" s="399"/>
      <c r="DH261" s="399"/>
      <c r="DI261" s="399"/>
      <c r="DJ261" s="399"/>
      <c r="DK261" s="399">
        <v>0</v>
      </c>
      <c r="DL261" s="399"/>
      <c r="DM261" s="399"/>
      <c r="DN261" s="399"/>
      <c r="DO261" s="399"/>
      <c r="DP261" s="399"/>
      <c r="DQ261" s="399"/>
      <c r="DR261" s="399"/>
      <c r="DS261" s="399"/>
      <c r="DT261" s="399"/>
      <c r="DU261" s="399"/>
      <c r="DV261" s="399"/>
      <c r="DW261" s="399"/>
      <c r="DX261" s="399"/>
      <c r="DY261" s="399"/>
      <c r="DZ261" s="399"/>
      <c r="EA261" s="399"/>
      <c r="EB261" s="399"/>
      <c r="EC261" s="399"/>
      <c r="ED261" s="399"/>
      <c r="EE261" s="399"/>
      <c r="EF261" s="399"/>
      <c r="EG261" s="399"/>
      <c r="EH261" s="399"/>
      <c r="EI261" s="399"/>
      <c r="EJ261" s="399"/>
      <c r="EK261" s="399"/>
      <c r="EL261" s="399"/>
      <c r="EM261" s="399"/>
      <c r="EN261" s="399"/>
      <c r="EO261" s="399"/>
      <c r="EP261" s="399"/>
      <c r="EQ261" s="399"/>
      <c r="ER261" s="399"/>
      <c r="ES261" s="399"/>
      <c r="ET261" s="399"/>
      <c r="EU261" s="399"/>
      <c r="EV261" s="399">
        <v>218</v>
      </c>
      <c r="EW261" s="399"/>
      <c r="EX261" s="399"/>
      <c r="EY261" s="399"/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956</v>
      </c>
      <c r="C262" s="399" t="s">
        <v>2328</v>
      </c>
      <c r="D262" s="399" t="s">
        <v>1823</v>
      </c>
      <c r="E262" s="399" t="s">
        <v>889</v>
      </c>
      <c r="F262" s="399" t="s">
        <v>2332</v>
      </c>
      <c r="G262" s="399" t="s">
        <v>1239</v>
      </c>
      <c r="H262" s="399" t="s">
        <v>1239</v>
      </c>
      <c r="I262" s="399" t="s">
        <v>1239</v>
      </c>
      <c r="J262" s="399" t="s">
        <v>2329</v>
      </c>
      <c r="K262" s="789">
        <v>44593</v>
      </c>
      <c r="L262" s="399">
        <v>0</v>
      </c>
      <c r="M262" s="399">
        <v>0</v>
      </c>
      <c r="N262" s="399">
        <v>4.25</v>
      </c>
      <c r="O262" s="399">
        <v>4.25</v>
      </c>
      <c r="P262" s="399">
        <v>4.25</v>
      </c>
      <c r="Q262" s="399">
        <v>4.25</v>
      </c>
      <c r="R262" s="399"/>
      <c r="S262" s="399">
        <v>451.8</v>
      </c>
      <c r="T262" s="399">
        <v>141.32</v>
      </c>
      <c r="U262" s="399"/>
      <c r="V262" s="399">
        <v>2520.7600000000002</v>
      </c>
      <c r="W262" s="399">
        <v>2520.7600000000002</v>
      </c>
      <c r="X262" s="399">
        <v>1921.6799999999998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457.10365944882949</v>
      </c>
      <c r="AE262" s="399">
        <v>1381.0408781466701</v>
      </c>
      <c r="AF262" s="399">
        <v>600.60545263594054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5.8941834047719368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76.095816546735975</v>
      </c>
      <c r="BH262" s="399">
        <v>0</v>
      </c>
      <c r="BI262" s="399">
        <v>14.79</v>
      </c>
      <c r="BJ262" s="399">
        <v>68.44</v>
      </c>
      <c r="BK262" s="399">
        <v>406.4</v>
      </c>
      <c r="BL262" s="399">
        <v>40</v>
      </c>
      <c r="BM262" s="399"/>
      <c r="BN262" s="399"/>
      <c r="BO262" s="399"/>
      <c r="BP262" s="399"/>
      <c r="BQ262" s="399"/>
      <c r="BR262" s="399"/>
      <c r="BS262" s="399"/>
      <c r="BT262" s="399">
        <v>192.1424999999999</v>
      </c>
      <c r="BU262" s="399"/>
      <c r="BV262" s="399">
        <v>676.70126918267647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1729.5374999999999</v>
      </c>
      <c r="CJ262" s="399">
        <v>-539.1850000000004</v>
      </c>
      <c r="CK262" s="399"/>
      <c r="CL262" s="399"/>
      <c r="CM262" s="399"/>
      <c r="CN262" s="399"/>
      <c r="CO262" s="399">
        <v>-599.08000000000015</v>
      </c>
      <c r="CP262" s="399">
        <v>0</v>
      </c>
      <c r="CQ262" s="399">
        <v>29</v>
      </c>
      <c r="CR262" s="399">
        <v>-2.4147196659616839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-2.1770490395019806</v>
      </c>
      <c r="DA262" s="399">
        <v>0</v>
      </c>
      <c r="DB262" s="399">
        <v>0</v>
      </c>
      <c r="DC262" s="399">
        <v>0</v>
      </c>
      <c r="DD262" s="399">
        <v>0</v>
      </c>
      <c r="DE262" s="399">
        <v>0</v>
      </c>
      <c r="DF262" s="399">
        <v>0</v>
      </c>
      <c r="DG262" s="399">
        <v>0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0</v>
      </c>
      <c r="DP262" s="399">
        <v>-0.23767062645978942</v>
      </c>
      <c r="DQ262" s="399">
        <v>0</v>
      </c>
      <c r="DR262" s="399">
        <v>0</v>
      </c>
      <c r="DS262" s="399"/>
      <c r="DT262" s="399"/>
      <c r="DU262" s="399"/>
      <c r="DV262" s="399">
        <v>1381.0408781466701</v>
      </c>
      <c r="DW262" s="399">
        <v>0</v>
      </c>
      <c r="DX262" s="399">
        <v>0</v>
      </c>
      <c r="DY262" s="399">
        <v>-599.08000000000015</v>
      </c>
      <c r="DZ262" s="399">
        <v>0</v>
      </c>
      <c r="EA262" s="399">
        <v>0</v>
      </c>
      <c r="EB262" s="399">
        <v>0</v>
      </c>
      <c r="EC262" s="399">
        <v>-596.63642962452457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218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2361</v>
      </c>
      <c r="C263" s="399" t="s">
        <v>2328</v>
      </c>
      <c r="D263" s="399" t="s">
        <v>1823</v>
      </c>
      <c r="E263" s="399" t="s">
        <v>889</v>
      </c>
      <c r="F263" s="399" t="s">
        <v>2332</v>
      </c>
      <c r="G263" s="399" t="s">
        <v>1239</v>
      </c>
      <c r="H263" s="399" t="s">
        <v>1239</v>
      </c>
      <c r="I263" s="399" t="s">
        <v>1239</v>
      </c>
      <c r="J263" s="399" t="s">
        <v>2329</v>
      </c>
      <c r="K263" s="789">
        <v>44593</v>
      </c>
      <c r="L263" s="399">
        <v>0</v>
      </c>
      <c r="M263" s="399">
        <v>0</v>
      </c>
      <c r="N263" s="399">
        <v>0</v>
      </c>
      <c r="O263" s="399">
        <v>0</v>
      </c>
      <c r="P263" s="399">
        <v>0</v>
      </c>
      <c r="Q263" s="399">
        <v>0</v>
      </c>
      <c r="R263" s="399"/>
      <c r="S263" s="399"/>
      <c r="T263" s="399"/>
      <c r="U263" s="399"/>
      <c r="V263" s="399"/>
      <c r="W263" s="399"/>
      <c r="X263" s="399"/>
      <c r="Y263" s="399"/>
      <c r="Z263" s="399"/>
      <c r="AA263" s="399">
        <v>0</v>
      </c>
      <c r="AB263" s="399"/>
      <c r="AC263" s="399"/>
      <c r="AD263" s="399"/>
      <c r="AE263" s="399"/>
      <c r="AF263" s="399"/>
      <c r="AG263" s="399"/>
      <c r="AH263" s="399"/>
      <c r="AI263" s="399"/>
      <c r="AJ263" s="399"/>
      <c r="AK263" s="399"/>
      <c r="AL263" s="399"/>
      <c r="AM263" s="399"/>
      <c r="AN263" s="399"/>
      <c r="AO263" s="399"/>
      <c r="AP263" s="399"/>
      <c r="AQ263" s="399"/>
      <c r="AR263" s="399"/>
      <c r="AS263" s="399"/>
      <c r="AT263" s="399"/>
      <c r="AU263" s="399"/>
      <c r="AV263" s="399"/>
      <c r="AW263" s="399"/>
      <c r="AX263" s="399"/>
      <c r="AY263" s="399"/>
      <c r="AZ263" s="399">
        <v>0</v>
      </c>
      <c r="BA263" s="399"/>
      <c r="BB263" s="399"/>
      <c r="BC263" s="399"/>
      <c r="BD263" s="399"/>
      <c r="BE263" s="399"/>
      <c r="BF263" s="399"/>
      <c r="BG263" s="399"/>
      <c r="BH263" s="399"/>
      <c r="BI263" s="399">
        <v>0</v>
      </c>
      <c r="BJ263" s="399">
        <v>0</v>
      </c>
      <c r="BK263" s="399">
        <v>1.26</v>
      </c>
      <c r="BL263" s="399">
        <v>1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/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/>
      <c r="CJ263" s="399">
        <v>-0.03</v>
      </c>
      <c r="CK263" s="399"/>
      <c r="CL263" s="399"/>
      <c r="CM263" s="399"/>
      <c r="CN263" s="399"/>
      <c r="CO263" s="399">
        <v>0</v>
      </c>
      <c r="CP263" s="399">
        <v>0</v>
      </c>
      <c r="CQ263" s="399">
        <v>29</v>
      </c>
      <c r="CR263" s="399"/>
      <c r="CS263" s="399"/>
      <c r="CT263" s="399"/>
      <c r="CU263" s="399"/>
      <c r="CV263" s="399"/>
      <c r="CW263" s="399"/>
      <c r="CX263" s="399"/>
      <c r="CY263" s="399"/>
      <c r="CZ263" s="399"/>
      <c r="DA263" s="399"/>
      <c r="DB263" s="399"/>
      <c r="DC263" s="399"/>
      <c r="DD263" s="399"/>
      <c r="DE263" s="399"/>
      <c r="DF263" s="399"/>
      <c r="DG263" s="399"/>
      <c r="DH263" s="399"/>
      <c r="DI263" s="399"/>
      <c r="DJ263" s="399"/>
      <c r="DK263" s="399">
        <v>0</v>
      </c>
      <c r="DL263" s="399"/>
      <c r="DM263" s="399"/>
      <c r="DN263" s="399"/>
      <c r="DO263" s="399"/>
      <c r="DP263" s="399"/>
      <c r="DQ263" s="399"/>
      <c r="DR263" s="399"/>
      <c r="DS263" s="399"/>
      <c r="DT263" s="399"/>
      <c r="DU263" s="399"/>
      <c r="DV263" s="399"/>
      <c r="DW263" s="399"/>
      <c r="DX263" s="399"/>
      <c r="DY263" s="399"/>
      <c r="DZ263" s="399"/>
      <c r="EA263" s="399"/>
      <c r="EB263" s="399"/>
      <c r="EC263" s="399"/>
      <c r="ED263" s="399"/>
      <c r="EE263" s="399"/>
      <c r="EF263" s="399"/>
      <c r="EG263" s="399"/>
      <c r="EH263" s="399"/>
      <c r="EI263" s="399"/>
      <c r="EJ263" s="399"/>
      <c r="EK263" s="399"/>
      <c r="EL263" s="399"/>
      <c r="EM263" s="399"/>
      <c r="EN263" s="399"/>
      <c r="EO263" s="399"/>
      <c r="EP263" s="399"/>
      <c r="EQ263" s="399"/>
      <c r="ER263" s="399"/>
      <c r="ES263" s="399"/>
      <c r="ET263" s="399"/>
      <c r="EU263" s="399"/>
      <c r="EV263" s="399">
        <v>218</v>
      </c>
      <c r="EW263" s="399"/>
      <c r="EX263" s="399"/>
      <c r="EY263" s="399"/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956</v>
      </c>
      <c r="C264" s="399" t="s">
        <v>2328</v>
      </c>
      <c r="D264" s="399" t="s">
        <v>1823</v>
      </c>
      <c r="E264" s="399" t="s">
        <v>889</v>
      </c>
      <c r="F264" s="399" t="s">
        <v>2333</v>
      </c>
      <c r="G264" s="399" t="s">
        <v>1239</v>
      </c>
      <c r="H264" s="399" t="s">
        <v>1239</v>
      </c>
      <c r="I264" s="399" t="s">
        <v>1239</v>
      </c>
      <c r="J264" s="399" t="s">
        <v>2329</v>
      </c>
      <c r="K264" s="789">
        <v>44593</v>
      </c>
      <c r="L264" s="399">
        <v>0</v>
      </c>
      <c r="M264" s="399">
        <v>0</v>
      </c>
      <c r="N264" s="399">
        <v>1.478</v>
      </c>
      <c r="O264" s="399">
        <v>1.478</v>
      </c>
      <c r="P264" s="399">
        <v>1.478</v>
      </c>
      <c r="Q264" s="399">
        <v>1.478</v>
      </c>
      <c r="R264" s="399"/>
      <c r="S264" s="399">
        <v>451.8</v>
      </c>
      <c r="T264" s="399">
        <v>141.32</v>
      </c>
      <c r="U264" s="399"/>
      <c r="V264" s="399">
        <v>876.63135999999997</v>
      </c>
      <c r="W264" s="399">
        <v>876.63135999999997</v>
      </c>
      <c r="X264" s="399">
        <v>668.29247999999995</v>
      </c>
      <c r="Y264" s="399">
        <v>0</v>
      </c>
      <c r="Z264" s="399">
        <v>0</v>
      </c>
      <c r="AA264" s="399">
        <v>0</v>
      </c>
      <c r="AB264" s="399">
        <v>0</v>
      </c>
      <c r="AC264" s="399">
        <v>0</v>
      </c>
      <c r="AD264" s="399">
        <v>158.96451968596941</v>
      </c>
      <c r="AE264" s="399">
        <v>480.27727480018314</v>
      </c>
      <c r="AF264" s="399">
        <v>208.86937858727532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0</v>
      </c>
      <c r="AM264" s="399"/>
      <c r="AN264" s="399">
        <v>2.0497889581771584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26.463439260253121</v>
      </c>
      <c r="BH264" s="399">
        <v>0</v>
      </c>
      <c r="BI264" s="399">
        <v>5.34</v>
      </c>
      <c r="BJ264" s="399">
        <v>23.74</v>
      </c>
      <c r="BK264" s="399">
        <v>232.37</v>
      </c>
      <c r="BL264" s="399">
        <v>18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235.33281784752845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669.19679999999994</v>
      </c>
      <c r="CJ264" s="399">
        <v>-207.46456000000001</v>
      </c>
      <c r="CK264" s="399"/>
      <c r="CL264" s="399"/>
      <c r="CM264" s="399"/>
      <c r="CN264" s="399"/>
      <c r="CO264" s="399">
        <v>-208.33888000000005</v>
      </c>
      <c r="CP264" s="399">
        <v>0</v>
      </c>
      <c r="CQ264" s="399">
        <v>29</v>
      </c>
      <c r="CR264" s="399">
        <v>-0.83975427442146611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-0.75710081891386949</v>
      </c>
      <c r="DA264" s="399">
        <v>0</v>
      </c>
      <c r="DB264" s="399">
        <v>0</v>
      </c>
      <c r="DC264" s="399">
        <v>0</v>
      </c>
      <c r="DD264" s="399">
        <v>0</v>
      </c>
      <c r="DE264" s="399">
        <v>0</v>
      </c>
      <c r="DF264" s="399">
        <v>0</v>
      </c>
      <c r="DG264" s="399">
        <v>0</v>
      </c>
      <c r="DH264" s="399">
        <v>0</v>
      </c>
      <c r="DI264" s="399">
        <v>0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0</v>
      </c>
      <c r="DP264" s="399">
        <v>-8.2653455507663454E-2</v>
      </c>
      <c r="DQ264" s="399">
        <v>0</v>
      </c>
      <c r="DR264" s="399">
        <v>0</v>
      </c>
      <c r="DS264" s="399"/>
      <c r="DT264" s="399"/>
      <c r="DU264" s="399"/>
      <c r="DV264" s="399">
        <v>480.27727480018314</v>
      </c>
      <c r="DW264" s="399">
        <v>0</v>
      </c>
      <c r="DX264" s="399">
        <v>0</v>
      </c>
      <c r="DY264" s="399">
        <v>-208.33888000000007</v>
      </c>
      <c r="DZ264" s="399">
        <v>0</v>
      </c>
      <c r="EA264" s="399">
        <v>0</v>
      </c>
      <c r="EB264" s="399">
        <v>0</v>
      </c>
      <c r="EC264" s="399">
        <v>-207.48909246706995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218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956</v>
      </c>
      <c r="C265" s="399" t="s">
        <v>2328</v>
      </c>
      <c r="D265" s="399" t="s">
        <v>1826</v>
      </c>
      <c r="E265" s="399" t="s">
        <v>890</v>
      </c>
      <c r="F265" s="399" t="s">
        <v>1239</v>
      </c>
      <c r="G265" s="399" t="s">
        <v>1239</v>
      </c>
      <c r="H265" s="399" t="s">
        <v>1239</v>
      </c>
      <c r="I265" s="399" t="s">
        <v>1239</v>
      </c>
      <c r="J265" s="399" t="s">
        <v>2329</v>
      </c>
      <c r="K265" s="789">
        <v>44593</v>
      </c>
      <c r="L265" s="399">
        <v>0</v>
      </c>
      <c r="M265" s="399">
        <v>0</v>
      </c>
      <c r="N265" s="399">
        <v>151.197</v>
      </c>
      <c r="O265" s="399">
        <v>151.197</v>
      </c>
      <c r="P265" s="399">
        <v>151.197</v>
      </c>
      <c r="Q265" s="399">
        <v>151.197</v>
      </c>
      <c r="R265" s="399"/>
      <c r="S265" s="399">
        <v>521.86</v>
      </c>
      <c r="T265" s="399">
        <v>141.32</v>
      </c>
      <c r="U265" s="399"/>
      <c r="V265" s="399">
        <v>100270.82646000001</v>
      </c>
      <c r="W265" s="399">
        <v>100270.82646000001</v>
      </c>
      <c r="X265" s="399">
        <v>78369.941009999995</v>
      </c>
      <c r="Y265" s="399">
        <v>0</v>
      </c>
      <c r="Z265" s="399">
        <v>9174.1867938933337</v>
      </c>
      <c r="AA265" s="399">
        <v>0</v>
      </c>
      <c r="AB265" s="399">
        <v>0</v>
      </c>
      <c r="AC265" s="399">
        <v>0</v>
      </c>
      <c r="AD265" s="399">
        <v>16261.812234749335</v>
      </c>
      <c r="AE265" s="399">
        <v>49131.58533015108</v>
      </c>
      <c r="AF265" s="399">
        <v>21366.998264046189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1418.529097187562</v>
      </c>
      <c r="AM265" s="399"/>
      <c r="AN265" s="399">
        <v>209.69008194148296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2707.1668645686682</v>
      </c>
      <c r="BH265" s="399">
        <v>0</v>
      </c>
      <c r="BI265" s="399">
        <v>672.77</v>
      </c>
      <c r="BJ265" s="399">
        <v>3108.75</v>
      </c>
      <c r="BK265" s="399">
        <v>34470.22</v>
      </c>
      <c r="BL265" s="399">
        <v>143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24074.165128614859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78371.495999999999</v>
      </c>
      <c r="CJ265" s="399">
        <v>-21899.360459999996</v>
      </c>
      <c r="CK265" s="399"/>
      <c r="CL265" s="399"/>
      <c r="CM265" s="399"/>
      <c r="CN265" s="399"/>
      <c r="CO265" s="399">
        <v>-21900.885450000005</v>
      </c>
      <c r="CP265" s="399">
        <v>0</v>
      </c>
      <c r="CQ265" s="399">
        <v>29</v>
      </c>
      <c r="CR265" s="399">
        <v>-673.69412150818971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-77.450184382489169</v>
      </c>
      <c r="DA265" s="399">
        <v>0</v>
      </c>
      <c r="DB265" s="399">
        <v>0</v>
      </c>
      <c r="DC265" s="399">
        <v>0</v>
      </c>
      <c r="DD265" s="399">
        <v>0</v>
      </c>
      <c r="DE265" s="399">
        <v>0</v>
      </c>
      <c r="DF265" s="399">
        <v>0</v>
      </c>
      <c r="DG265" s="399">
        <v>0</v>
      </c>
      <c r="DH265" s="399">
        <v>0</v>
      </c>
      <c r="DI265" s="399">
        <v>-516.90727376718496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-70.881349074093578</v>
      </c>
      <c r="DP265" s="399">
        <v>-8.4553142844331433</v>
      </c>
      <c r="DQ265" s="399">
        <v>0</v>
      </c>
      <c r="DR265" s="399">
        <v>0</v>
      </c>
      <c r="DS265" s="399"/>
      <c r="DT265" s="399"/>
      <c r="DU265" s="399"/>
      <c r="DV265" s="399">
        <v>49131.58533015108</v>
      </c>
      <c r="DW265" s="399">
        <v>0</v>
      </c>
      <c r="DX265" s="399">
        <v>0</v>
      </c>
      <c r="DY265" s="399">
        <v>-21900.885450000009</v>
      </c>
      <c r="DZ265" s="399">
        <v>0</v>
      </c>
      <c r="EA265" s="399">
        <v>0</v>
      </c>
      <c r="EB265" s="399">
        <v>0</v>
      </c>
      <c r="EC265" s="399">
        <v>-21225.797235279824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218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2361</v>
      </c>
      <c r="C266" s="399" t="s">
        <v>2328</v>
      </c>
      <c r="D266" s="399" t="s">
        <v>1826</v>
      </c>
      <c r="E266" s="399" t="s">
        <v>890</v>
      </c>
      <c r="F266" s="399" t="s">
        <v>1239</v>
      </c>
      <c r="G266" s="399" t="s">
        <v>1239</v>
      </c>
      <c r="H266" s="399" t="s">
        <v>1239</v>
      </c>
      <c r="I266" s="399" t="s">
        <v>1239</v>
      </c>
      <c r="J266" s="399" t="s">
        <v>2329</v>
      </c>
      <c r="K266" s="789">
        <v>44593</v>
      </c>
      <c r="L266" s="399">
        <v>0</v>
      </c>
      <c r="M266" s="399">
        <v>0</v>
      </c>
      <c r="N266" s="399">
        <v>7.7590000000000003</v>
      </c>
      <c r="O266" s="399">
        <v>7.7590000000000003</v>
      </c>
      <c r="P266" s="399">
        <v>7.7590000000000003</v>
      </c>
      <c r="Q266" s="399">
        <v>7.7590000000000003</v>
      </c>
      <c r="R266" s="399"/>
      <c r="S266" s="399">
        <v>521.86</v>
      </c>
      <c r="T266" s="399">
        <v>141.32</v>
      </c>
      <c r="U266" s="399"/>
      <c r="V266" s="399">
        <v>5145.6136200000001</v>
      </c>
      <c r="W266" s="399">
        <v>5145.6136200000001</v>
      </c>
      <c r="X266" s="399">
        <v>4021.7224699999997</v>
      </c>
      <c r="Y266" s="399">
        <v>0</v>
      </c>
      <c r="Z266" s="399">
        <v>470.79317270725193</v>
      </c>
      <c r="AA266" s="399">
        <v>0</v>
      </c>
      <c r="AB266" s="399">
        <v>0</v>
      </c>
      <c r="AC266" s="399">
        <v>0</v>
      </c>
      <c r="AD266" s="399">
        <v>834.50995145022785</v>
      </c>
      <c r="AE266" s="399">
        <v>2521.2932173035324</v>
      </c>
      <c r="AF266" s="399">
        <v>1096.4935781181796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72.794878635675929</v>
      </c>
      <c r="AM266" s="399"/>
      <c r="AN266" s="399">
        <v>10.760698597088345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138.92410366732341</v>
      </c>
      <c r="BH266" s="399">
        <v>0</v>
      </c>
      <c r="BI266" s="399">
        <v>34.5</v>
      </c>
      <c r="BJ266" s="399">
        <v>159.56</v>
      </c>
      <c r="BK266" s="399">
        <v>3659.61</v>
      </c>
      <c r="BL266" s="399">
        <v>10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1235.417681785503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4022.2408</v>
      </c>
      <c r="CJ266" s="399">
        <v>-1123.4028200000007</v>
      </c>
      <c r="CK266" s="399"/>
      <c r="CL266" s="399"/>
      <c r="CM266" s="399"/>
      <c r="CN266" s="399"/>
      <c r="CO266" s="399">
        <v>-1123.8911500000002</v>
      </c>
      <c r="CP266" s="399">
        <v>0</v>
      </c>
      <c r="CQ266" s="399">
        <v>29</v>
      </c>
      <c r="CR266" s="399">
        <v>-34.572066170507242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-3.9745231758813588</v>
      </c>
      <c r="DA266" s="399">
        <v>0</v>
      </c>
      <c r="DB266" s="399">
        <v>0</v>
      </c>
      <c r="DC266" s="399">
        <v>0</v>
      </c>
      <c r="DD266" s="399">
        <v>0</v>
      </c>
      <c r="DE266" s="399">
        <v>0</v>
      </c>
      <c r="DF266" s="399">
        <v>0</v>
      </c>
      <c r="DG266" s="399">
        <v>0</v>
      </c>
      <c r="DH266" s="399">
        <v>0</v>
      </c>
      <c r="DI266" s="399">
        <v>-26.526211083285943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-3.637429231174508</v>
      </c>
      <c r="DP266" s="399">
        <v>-0.43390268016506184</v>
      </c>
      <c r="DQ266" s="399">
        <v>0</v>
      </c>
      <c r="DR266" s="399">
        <v>0</v>
      </c>
      <c r="DS266" s="399"/>
      <c r="DT266" s="399"/>
      <c r="DU266" s="399"/>
      <c r="DV266" s="399">
        <v>2521.2932173035324</v>
      </c>
      <c r="DW266" s="399">
        <v>0</v>
      </c>
      <c r="DX266" s="399">
        <v>0</v>
      </c>
      <c r="DY266" s="399">
        <v>-1123.8911500000004</v>
      </c>
      <c r="DZ266" s="399">
        <v>0</v>
      </c>
      <c r="EA266" s="399">
        <v>0</v>
      </c>
      <c r="EB266" s="399">
        <v>0</v>
      </c>
      <c r="EC266" s="399">
        <v>-1089.2475429309848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218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956</v>
      </c>
      <c r="C267" s="399" t="s">
        <v>2334</v>
      </c>
      <c r="D267" s="399" t="s">
        <v>533</v>
      </c>
      <c r="E267" s="399" t="s">
        <v>890</v>
      </c>
      <c r="F267" s="399" t="s">
        <v>1239</v>
      </c>
      <c r="G267" s="399" t="s">
        <v>1239</v>
      </c>
      <c r="H267" s="399" t="s">
        <v>1239</v>
      </c>
      <c r="I267" s="399" t="s">
        <v>893</v>
      </c>
      <c r="J267" s="399" t="s">
        <v>2329</v>
      </c>
      <c r="K267" s="789">
        <v>44593</v>
      </c>
      <c r="L267" s="399">
        <v>0</v>
      </c>
      <c r="M267" s="399">
        <v>0</v>
      </c>
      <c r="N267" s="399">
        <v>51.87</v>
      </c>
      <c r="O267" s="399">
        <v>51.87</v>
      </c>
      <c r="P267" s="399">
        <v>51.87</v>
      </c>
      <c r="Q267" s="399">
        <v>51.87</v>
      </c>
      <c r="R267" s="399"/>
      <c r="S267" s="399">
        <v>2741.05</v>
      </c>
      <c r="T267" s="399">
        <v>141.32</v>
      </c>
      <c r="U267" s="399"/>
      <c r="V267" s="399">
        <v>149508.5319</v>
      </c>
      <c r="W267" s="399">
        <v>149508.5319</v>
      </c>
      <c r="X267" s="399">
        <v>107053.45559999999</v>
      </c>
      <c r="Y267" s="399">
        <v>0</v>
      </c>
      <c r="Z267" s="399">
        <v>2738.166828901004</v>
      </c>
      <c r="AA267" s="399">
        <v>0</v>
      </c>
      <c r="AB267" s="399">
        <v>0</v>
      </c>
      <c r="AC267" s="399">
        <v>0</v>
      </c>
      <c r="AD267" s="399">
        <v>41162.033922370079</v>
      </c>
      <c r="AE267" s="399">
        <v>97401.939161331189</v>
      </c>
      <c r="AF267" s="399">
        <v>7330.2129007591138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486.64394314119215</v>
      </c>
      <c r="AM267" s="399"/>
      <c r="AN267" s="399">
        <v>31.160508932911899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358.57515349743579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7688.7880542565499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107053.45559999999</v>
      </c>
      <c r="CJ267" s="399">
        <v>-42455.106300000043</v>
      </c>
      <c r="CK267" s="399"/>
      <c r="CL267" s="399"/>
      <c r="CM267" s="399"/>
      <c r="CN267" s="399"/>
      <c r="CO267" s="399">
        <v>-42455.076300000008</v>
      </c>
      <c r="CP267" s="399">
        <v>0</v>
      </c>
      <c r="CQ267" s="399">
        <v>29</v>
      </c>
      <c r="CR267" s="399">
        <v>-375.89409864092886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-196.0425486917884</v>
      </c>
      <c r="DA267" s="399">
        <v>0</v>
      </c>
      <c r="DB267" s="399">
        <v>0</v>
      </c>
      <c r="DC267" s="399">
        <v>0</v>
      </c>
      <c r="DD267" s="399">
        <v>0</v>
      </c>
      <c r="DE267" s="399">
        <v>0</v>
      </c>
      <c r="DF267" s="399">
        <v>0</v>
      </c>
      <c r="DG267" s="399">
        <v>0</v>
      </c>
      <c r="DH267" s="399">
        <v>0</v>
      </c>
      <c r="DI267" s="399">
        <v>-154.27834449469992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-24.316723059804303</v>
      </c>
      <c r="DP267" s="399">
        <v>-1.2564823946428341</v>
      </c>
      <c r="DQ267" s="399">
        <v>0</v>
      </c>
      <c r="DR267" s="399">
        <v>0</v>
      </c>
      <c r="DS267" s="399"/>
      <c r="DT267" s="399"/>
      <c r="DU267" s="399"/>
      <c r="DV267" s="399">
        <v>97401.939161331189</v>
      </c>
      <c r="DW267" s="399">
        <v>0</v>
      </c>
      <c r="DX267" s="399">
        <v>0</v>
      </c>
      <c r="DY267" s="399">
        <v>-42455.076300000015</v>
      </c>
      <c r="DZ267" s="399">
        <v>0</v>
      </c>
      <c r="EA267" s="399">
        <v>0</v>
      </c>
      <c r="EB267" s="399">
        <v>0</v>
      </c>
      <c r="EC267" s="399">
        <v>-42079.525768787731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218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956</v>
      </c>
      <c r="C268" s="399" t="s">
        <v>2334</v>
      </c>
      <c r="D268" s="399" t="s">
        <v>533</v>
      </c>
      <c r="E268" s="399" t="s">
        <v>890</v>
      </c>
      <c r="F268" s="399" t="s">
        <v>1239</v>
      </c>
      <c r="G268" s="399" t="s">
        <v>1239</v>
      </c>
      <c r="H268" s="399" t="s">
        <v>1239</v>
      </c>
      <c r="I268" s="399" t="s">
        <v>2326</v>
      </c>
      <c r="J268" s="399" t="s">
        <v>2329</v>
      </c>
      <c r="K268" s="789">
        <v>44593</v>
      </c>
      <c r="L268" s="399">
        <v>0</v>
      </c>
      <c r="M268" s="399">
        <v>0</v>
      </c>
      <c r="N268" s="399">
        <v>2130.1379999999999</v>
      </c>
      <c r="O268" s="399">
        <v>2130.1379999999999</v>
      </c>
      <c r="P268" s="399">
        <v>2130.1379999999999</v>
      </c>
      <c r="Q268" s="399">
        <v>2130.1379999999999</v>
      </c>
      <c r="R268" s="399"/>
      <c r="S268" s="399">
        <v>69.680000000000007</v>
      </c>
      <c r="T268" s="399">
        <v>141.32</v>
      </c>
      <c r="U268" s="399"/>
      <c r="V268" s="399">
        <v>449459.11799999996</v>
      </c>
      <c r="W268" s="399">
        <v>449459.11799999996</v>
      </c>
      <c r="X268" s="399">
        <v>442088.84051999997</v>
      </c>
      <c r="Y268" s="399">
        <v>0</v>
      </c>
      <c r="Z268" s="399">
        <v>112447.91233047092</v>
      </c>
      <c r="AA268" s="399">
        <v>0</v>
      </c>
      <c r="AB268" s="399">
        <v>0</v>
      </c>
      <c r="AC268" s="399">
        <v>0</v>
      </c>
      <c r="AD268" s="399">
        <v>0</v>
      </c>
      <c r="AE268" s="399">
        <v>0</v>
      </c>
      <c r="AF268" s="399">
        <v>301028.82298047462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19984.938418255115</v>
      </c>
      <c r="AM268" s="399"/>
      <c r="AN268" s="399">
        <v>1279.6642409357064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14725.555433212279</v>
      </c>
      <c r="BH268" s="399">
        <v>0</v>
      </c>
      <c r="BI268" s="399">
        <v>0</v>
      </c>
      <c r="BJ268" s="399">
        <v>0</v>
      </c>
      <c r="BK268" s="399">
        <v>0</v>
      </c>
      <c r="BL268" s="399">
        <v>0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315754.37841368688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442089.25559999992</v>
      </c>
      <c r="CJ268" s="399">
        <v>-7369.8924000000698</v>
      </c>
      <c r="CK268" s="399"/>
      <c r="CL268" s="399"/>
      <c r="CM268" s="399"/>
      <c r="CN268" s="399"/>
      <c r="CO268" s="399">
        <v>-7370.277480000017</v>
      </c>
      <c r="CP268" s="399">
        <v>0</v>
      </c>
      <c r="CQ268" s="399">
        <v>29</v>
      </c>
      <c r="CR268" s="399">
        <v>-7385.9383247653022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0</v>
      </c>
      <c r="DA268" s="399">
        <v>0</v>
      </c>
      <c r="DB268" s="399">
        <v>0</v>
      </c>
      <c r="DC268" s="399">
        <v>0</v>
      </c>
      <c r="DD268" s="399">
        <v>0</v>
      </c>
      <c r="DE268" s="399">
        <v>0</v>
      </c>
      <c r="DF268" s="399">
        <v>0</v>
      </c>
      <c r="DG268" s="399">
        <v>0</v>
      </c>
      <c r="DH268" s="399">
        <v>0</v>
      </c>
      <c r="DI268" s="399">
        <v>-6335.7270905195764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-998.61144833555954</v>
      </c>
      <c r="DP268" s="399">
        <v>-51.599785910154196</v>
      </c>
      <c r="DQ268" s="399">
        <v>0</v>
      </c>
      <c r="DR268" s="399">
        <v>0</v>
      </c>
      <c r="DS268" s="399"/>
      <c r="DT268" s="399"/>
      <c r="DU268" s="399"/>
      <c r="DV268" s="399">
        <v>0</v>
      </c>
      <c r="DW268" s="399">
        <v>0</v>
      </c>
      <c r="DX268" s="399">
        <v>0</v>
      </c>
      <c r="DY268" s="399">
        <v>-7370.2774800000188</v>
      </c>
      <c r="DZ268" s="399">
        <v>0</v>
      </c>
      <c r="EA268" s="399">
        <v>0</v>
      </c>
      <c r="EB268" s="399">
        <v>0</v>
      </c>
      <c r="EC268" s="399">
        <v>0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218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956</v>
      </c>
      <c r="C269" s="399" t="s">
        <v>2334</v>
      </c>
      <c r="D269" s="399" t="s">
        <v>533</v>
      </c>
      <c r="E269" s="399" t="s">
        <v>890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2329</v>
      </c>
      <c r="K269" s="789">
        <v>44593</v>
      </c>
      <c r="L269" s="399">
        <v>10888</v>
      </c>
      <c r="M269" s="399">
        <v>10888</v>
      </c>
      <c r="N269" s="399">
        <v>0</v>
      </c>
      <c r="O269" s="399">
        <v>0</v>
      </c>
      <c r="P269" s="399">
        <v>0</v>
      </c>
      <c r="Q269" s="399">
        <v>0</v>
      </c>
      <c r="R269" s="399">
        <v>35.15</v>
      </c>
      <c r="S269" s="399"/>
      <c r="T269" s="399"/>
      <c r="U269" s="399">
        <v>382713.2</v>
      </c>
      <c r="V269" s="399"/>
      <c r="W269" s="399">
        <v>382713.2</v>
      </c>
      <c r="X269" s="399">
        <v>279386.08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145151.99240901112</v>
      </c>
      <c r="AE269" s="399">
        <v>237554.13598533257</v>
      </c>
      <c r="AF269" s="399"/>
      <c r="AG269" s="399"/>
      <c r="AH269" s="399"/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0</v>
      </c>
      <c r="AO269" s="399">
        <v>0</v>
      </c>
      <c r="AP269" s="399">
        <v>0</v>
      </c>
      <c r="AQ269" s="399">
        <v>0</v>
      </c>
      <c r="AR269" s="399">
        <v>0</v>
      </c>
      <c r="AS269" s="399"/>
      <c r="AT269" s="399"/>
      <c r="AU269" s="399">
        <v>0</v>
      </c>
      <c r="AV269" s="399">
        <v>0</v>
      </c>
      <c r="AW269" s="399">
        <v>0</v>
      </c>
      <c r="AX269" s="399"/>
      <c r="AY269" s="399"/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/>
      <c r="BG269" s="399">
        <v>0</v>
      </c>
      <c r="BH269" s="399">
        <v>0</v>
      </c>
      <c r="BI269" s="399">
        <v>7798.66</v>
      </c>
      <c r="BJ269" s="399">
        <v>35994.620000000003</v>
      </c>
      <c r="BK269" s="399">
        <v>390130.44</v>
      </c>
      <c r="BL269" s="399">
        <v>31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0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279386.08</v>
      </c>
      <c r="CJ269" s="399">
        <v>-103327.15000000002</v>
      </c>
      <c r="CK269" s="399"/>
      <c r="CL269" s="399"/>
      <c r="CM269" s="399"/>
      <c r="CN269" s="399"/>
      <c r="CO269" s="399">
        <v>-103327.11999999998</v>
      </c>
      <c r="CP269" s="399">
        <v>0</v>
      </c>
      <c r="CQ269" s="399">
        <v>29</v>
      </c>
      <c r="CR269" s="399">
        <v>-691.3158517186821</v>
      </c>
      <c r="CS269" s="399">
        <v>0</v>
      </c>
      <c r="CT269" s="399">
        <v>0</v>
      </c>
      <c r="CU269" s="399">
        <v>0</v>
      </c>
      <c r="CV269" s="399">
        <v>0</v>
      </c>
      <c r="CW269" s="399"/>
      <c r="CX269" s="399"/>
      <c r="CY269" s="399"/>
      <c r="CZ269" s="399">
        <v>-691.3158517186821</v>
      </c>
      <c r="DA269" s="399">
        <v>0</v>
      </c>
      <c r="DB269" s="399">
        <v>0</v>
      </c>
      <c r="DC269" s="399"/>
      <c r="DD269" s="399"/>
      <c r="DE269" s="399">
        <v>0</v>
      </c>
      <c r="DF269" s="399">
        <v>0</v>
      </c>
      <c r="DG269" s="399">
        <v>0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/>
      <c r="DN269" s="399">
        <v>0</v>
      </c>
      <c r="DO269" s="399">
        <v>0</v>
      </c>
      <c r="DP269" s="399">
        <v>0</v>
      </c>
      <c r="DQ269" s="399">
        <v>0</v>
      </c>
      <c r="DR269" s="399">
        <v>0</v>
      </c>
      <c r="DS269" s="399"/>
      <c r="DT269" s="399"/>
      <c r="DU269" s="399">
        <v>237554.13598533257</v>
      </c>
      <c r="DV269" s="399"/>
      <c r="DW269" s="399">
        <v>0</v>
      </c>
      <c r="DX269" s="399">
        <v>0</v>
      </c>
      <c r="DY269" s="399">
        <v>-103327.12</v>
      </c>
      <c r="DZ269" s="399"/>
      <c r="EA269" s="399">
        <v>0</v>
      </c>
      <c r="EB269" s="399"/>
      <c r="EC269" s="399">
        <v>-102627.991524068</v>
      </c>
      <c r="ED269" s="399"/>
      <c r="EE269" s="399">
        <v>0</v>
      </c>
      <c r="EF269" s="399">
        <v>0</v>
      </c>
      <c r="EG269" s="399"/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/>
      <c r="EN269" s="399"/>
      <c r="EO269" s="399">
        <v>0</v>
      </c>
      <c r="EP269" s="399">
        <v>0</v>
      </c>
      <c r="EQ269" s="399"/>
      <c r="ER269" s="399">
        <v>0</v>
      </c>
      <c r="ES269" s="399"/>
      <c r="ET269" s="399">
        <v>0</v>
      </c>
      <c r="EU269" s="399"/>
      <c r="EV269" s="399">
        <v>218</v>
      </c>
      <c r="EW269" s="399"/>
      <c r="EX269" s="399"/>
      <c r="EY269" s="399"/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2361</v>
      </c>
      <c r="C270" s="399" t="s">
        <v>2334</v>
      </c>
      <c r="D270" s="399" t="s">
        <v>533</v>
      </c>
      <c r="E270" s="399" t="s">
        <v>890</v>
      </c>
      <c r="F270" s="399" t="s">
        <v>1239</v>
      </c>
      <c r="G270" s="399" t="s">
        <v>1239</v>
      </c>
      <c r="H270" s="399" t="s">
        <v>1239</v>
      </c>
      <c r="I270" s="399" t="s">
        <v>1239</v>
      </c>
      <c r="J270" s="399" t="s">
        <v>2329</v>
      </c>
      <c r="K270" s="789">
        <v>44593</v>
      </c>
      <c r="L270" s="399">
        <v>454</v>
      </c>
      <c r="M270" s="399">
        <v>454</v>
      </c>
      <c r="N270" s="399">
        <v>0</v>
      </c>
      <c r="O270" s="399">
        <v>0</v>
      </c>
      <c r="P270" s="399">
        <v>0</v>
      </c>
      <c r="Q270" s="399">
        <v>0</v>
      </c>
      <c r="R270" s="399">
        <v>35.15</v>
      </c>
      <c r="S270" s="399"/>
      <c r="T270" s="399"/>
      <c r="U270" s="399">
        <v>15958.099999999999</v>
      </c>
      <c r="V270" s="399"/>
      <c r="W270" s="399">
        <v>15958.099999999999</v>
      </c>
      <c r="X270" s="399">
        <v>11649.64</v>
      </c>
      <c r="Y270" s="399">
        <v>0</v>
      </c>
      <c r="Z270" s="399">
        <v>0</v>
      </c>
      <c r="AA270" s="399">
        <v>0</v>
      </c>
      <c r="AB270" s="399">
        <v>0</v>
      </c>
      <c r="AC270" s="399">
        <v>0</v>
      </c>
      <c r="AD270" s="399">
        <v>6052.443474806304</v>
      </c>
      <c r="AE270" s="399">
        <v>9905.3616584626179</v>
      </c>
      <c r="AF270" s="399"/>
      <c r="AG270" s="399"/>
      <c r="AH270" s="399"/>
      <c r="AI270" s="399">
        <v>0</v>
      </c>
      <c r="AJ270" s="399">
        <v>0</v>
      </c>
      <c r="AK270" s="399">
        <v>0</v>
      </c>
      <c r="AL270" s="399">
        <v>0</v>
      </c>
      <c r="AM270" s="399"/>
      <c r="AN270" s="399">
        <v>0</v>
      </c>
      <c r="AO270" s="399">
        <v>0</v>
      </c>
      <c r="AP270" s="399">
        <v>0</v>
      </c>
      <c r="AQ270" s="399">
        <v>0</v>
      </c>
      <c r="AR270" s="399">
        <v>0</v>
      </c>
      <c r="AS270" s="399"/>
      <c r="AT270" s="399"/>
      <c r="AU270" s="399">
        <v>0</v>
      </c>
      <c r="AV270" s="399">
        <v>0</v>
      </c>
      <c r="AW270" s="399">
        <v>0</v>
      </c>
      <c r="AX270" s="399"/>
      <c r="AY270" s="399"/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/>
      <c r="BG270" s="399">
        <v>0</v>
      </c>
      <c r="BH270" s="399">
        <v>0</v>
      </c>
      <c r="BI270" s="399">
        <v>86.46</v>
      </c>
      <c r="BJ270" s="399">
        <v>399.09</v>
      </c>
      <c r="BK270" s="399">
        <v>5372.46</v>
      </c>
      <c r="BL270" s="399">
        <v>2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0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11649.64</v>
      </c>
      <c r="CJ270" s="399">
        <v>-4308.49</v>
      </c>
      <c r="CK270" s="399"/>
      <c r="CL270" s="399"/>
      <c r="CM270" s="399"/>
      <c r="CN270" s="399"/>
      <c r="CO270" s="399">
        <v>-4308.4599999999991</v>
      </c>
      <c r="CP270" s="399">
        <v>0</v>
      </c>
      <c r="CQ270" s="399">
        <v>29</v>
      </c>
      <c r="CR270" s="399">
        <v>-28.825991612809958</v>
      </c>
      <c r="CS270" s="399">
        <v>0</v>
      </c>
      <c r="CT270" s="399">
        <v>0</v>
      </c>
      <c r="CU270" s="399">
        <v>0</v>
      </c>
      <c r="CV270" s="399">
        <v>0</v>
      </c>
      <c r="CW270" s="399"/>
      <c r="CX270" s="399"/>
      <c r="CY270" s="399"/>
      <c r="CZ270" s="399">
        <v>-28.825991612809958</v>
      </c>
      <c r="DA270" s="399">
        <v>0</v>
      </c>
      <c r="DB270" s="399">
        <v>0</v>
      </c>
      <c r="DC270" s="399"/>
      <c r="DD270" s="399"/>
      <c r="DE270" s="399">
        <v>0</v>
      </c>
      <c r="DF270" s="399">
        <v>0</v>
      </c>
      <c r="DG270" s="399">
        <v>0</v>
      </c>
      <c r="DH270" s="399">
        <v>0</v>
      </c>
      <c r="DI270" s="399">
        <v>0</v>
      </c>
      <c r="DJ270" s="399"/>
      <c r="DK270" s="399">
        <v>0</v>
      </c>
      <c r="DL270" s="399">
        <v>0</v>
      </c>
      <c r="DM270" s="399"/>
      <c r="DN270" s="399">
        <v>0</v>
      </c>
      <c r="DO270" s="399">
        <v>0</v>
      </c>
      <c r="DP270" s="399">
        <v>0</v>
      </c>
      <c r="DQ270" s="399">
        <v>0</v>
      </c>
      <c r="DR270" s="399">
        <v>0</v>
      </c>
      <c r="DS270" s="399"/>
      <c r="DT270" s="399"/>
      <c r="DU270" s="399">
        <v>9905.3616584626179</v>
      </c>
      <c r="DV270" s="399"/>
      <c r="DW270" s="399">
        <v>0</v>
      </c>
      <c r="DX270" s="399">
        <v>0</v>
      </c>
      <c r="DY270" s="399">
        <v>-4308.4599999999991</v>
      </c>
      <c r="DZ270" s="399"/>
      <c r="EA270" s="399">
        <v>0</v>
      </c>
      <c r="EB270" s="399"/>
      <c r="EC270" s="399">
        <v>-4279.3082431968105</v>
      </c>
      <c r="ED270" s="399"/>
      <c r="EE270" s="399">
        <v>0</v>
      </c>
      <c r="EF270" s="399">
        <v>0</v>
      </c>
      <c r="EG270" s="399"/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/>
      <c r="EN270" s="399"/>
      <c r="EO270" s="399">
        <v>0</v>
      </c>
      <c r="EP270" s="399">
        <v>0</v>
      </c>
      <c r="EQ270" s="399"/>
      <c r="ER270" s="399">
        <v>0</v>
      </c>
      <c r="ES270" s="399"/>
      <c r="ET270" s="399">
        <v>0</v>
      </c>
      <c r="EU270" s="399"/>
      <c r="EV270" s="399">
        <v>218</v>
      </c>
      <c r="EW270" s="399"/>
      <c r="EX270" s="399"/>
      <c r="EY270" s="399"/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956</v>
      </c>
      <c r="C271" s="399" t="s">
        <v>2328</v>
      </c>
      <c r="D271" s="399" t="s">
        <v>1826</v>
      </c>
      <c r="E271" s="399" t="s">
        <v>918</v>
      </c>
      <c r="F271" s="399" t="s">
        <v>1239</v>
      </c>
      <c r="G271" s="399" t="s">
        <v>1239</v>
      </c>
      <c r="H271" s="399" t="s">
        <v>1239</v>
      </c>
      <c r="I271" s="399" t="s">
        <v>1239</v>
      </c>
      <c r="J271" s="399" t="s">
        <v>2329</v>
      </c>
      <c r="K271" s="789">
        <v>44593</v>
      </c>
      <c r="L271" s="399">
        <v>0</v>
      </c>
      <c r="M271" s="399">
        <v>0</v>
      </c>
      <c r="N271" s="399">
        <v>247.99199999999999</v>
      </c>
      <c r="O271" s="399">
        <v>247.99199999999999</v>
      </c>
      <c r="P271" s="399">
        <v>247.99199999999999</v>
      </c>
      <c r="Q271" s="399">
        <v>247.99199999999999</v>
      </c>
      <c r="R271" s="399"/>
      <c r="S271" s="399">
        <v>521.86</v>
      </c>
      <c r="T271" s="399">
        <v>141.32</v>
      </c>
      <c r="U271" s="399"/>
      <c r="V271" s="399">
        <v>164463.33455999999</v>
      </c>
      <c r="W271" s="399">
        <v>164463.33455999999</v>
      </c>
      <c r="X271" s="399">
        <v>128541.69335999999</v>
      </c>
      <c r="Y271" s="399">
        <v>0</v>
      </c>
      <c r="Z271" s="399">
        <v>15047.421122053978</v>
      </c>
      <c r="AA271" s="399">
        <v>0</v>
      </c>
      <c r="AB271" s="399">
        <v>0</v>
      </c>
      <c r="AC271" s="399">
        <v>0</v>
      </c>
      <c r="AD271" s="399">
        <v>26672.482520949205</v>
      </c>
      <c r="AE271" s="399">
        <v>80585.197518435059</v>
      </c>
      <c r="AF271" s="399">
        <v>35045.964096492273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2326.659046606334</v>
      </c>
      <c r="AM271" s="399"/>
      <c r="AN271" s="399">
        <v>343.93184256851816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4440.2714675430934</v>
      </c>
      <c r="BH271" s="399">
        <v>0</v>
      </c>
      <c r="BI271" s="399">
        <v>1101.95</v>
      </c>
      <c r="BJ271" s="399">
        <v>5098.18</v>
      </c>
      <c r="BK271" s="399">
        <v>56054.43</v>
      </c>
      <c r="BL271" s="399">
        <v>579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39486.235564035363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128540.65669999999</v>
      </c>
      <c r="CJ271" s="399">
        <v>-35922.707859999995</v>
      </c>
      <c r="CK271" s="399"/>
      <c r="CL271" s="399"/>
      <c r="CM271" s="399"/>
      <c r="CN271" s="399"/>
      <c r="CO271" s="399">
        <v>-35921.641200000005</v>
      </c>
      <c r="CP271" s="399">
        <v>0</v>
      </c>
      <c r="CQ271" s="399">
        <v>29</v>
      </c>
      <c r="CR271" s="399">
        <v>-1104.9872191978793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-127.03311656568621</v>
      </c>
      <c r="DA271" s="399">
        <v>0</v>
      </c>
      <c r="DB271" s="399">
        <v>0</v>
      </c>
      <c r="DC271" s="399">
        <v>0</v>
      </c>
      <c r="DD271" s="399">
        <v>0</v>
      </c>
      <c r="DE271" s="399">
        <v>0</v>
      </c>
      <c r="DF271" s="399">
        <v>0</v>
      </c>
      <c r="DG271" s="399">
        <v>0</v>
      </c>
      <c r="DH271" s="399">
        <v>0</v>
      </c>
      <c r="DI271" s="399">
        <v>-847.82679971210746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-116.25897021490255</v>
      </c>
      <c r="DP271" s="399">
        <v>-13.868332705180308</v>
      </c>
      <c r="DQ271" s="399">
        <v>0</v>
      </c>
      <c r="DR271" s="399">
        <v>0</v>
      </c>
      <c r="DS271" s="399"/>
      <c r="DT271" s="399"/>
      <c r="DU271" s="399"/>
      <c r="DV271" s="399">
        <v>80585.197518435059</v>
      </c>
      <c r="DW271" s="399">
        <v>0</v>
      </c>
      <c r="DX271" s="399">
        <v>0</v>
      </c>
      <c r="DY271" s="399">
        <v>-35921.641199999998</v>
      </c>
      <c r="DZ271" s="399">
        <v>0</v>
      </c>
      <c r="EA271" s="399">
        <v>0</v>
      </c>
      <c r="EB271" s="399">
        <v>0</v>
      </c>
      <c r="EC271" s="399">
        <v>-34814.367401281197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218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2361</v>
      </c>
      <c r="C272" s="399" t="s">
        <v>2328</v>
      </c>
      <c r="D272" s="399" t="s">
        <v>1826</v>
      </c>
      <c r="E272" s="399" t="s">
        <v>918</v>
      </c>
      <c r="F272" s="399" t="s">
        <v>1239</v>
      </c>
      <c r="G272" s="399" t="s">
        <v>1239</v>
      </c>
      <c r="H272" s="399" t="s">
        <v>1239</v>
      </c>
      <c r="I272" s="399" t="s">
        <v>1239</v>
      </c>
      <c r="J272" s="399" t="s">
        <v>2329</v>
      </c>
      <c r="K272" s="789">
        <v>44593</v>
      </c>
      <c r="L272" s="399">
        <v>0</v>
      </c>
      <c r="M272" s="399">
        <v>0</v>
      </c>
      <c r="N272" s="399">
        <v>7.9870000000000001</v>
      </c>
      <c r="O272" s="399">
        <v>7.9870000000000001</v>
      </c>
      <c r="P272" s="399">
        <v>7.9870000000000001</v>
      </c>
      <c r="Q272" s="399">
        <v>7.9870000000000001</v>
      </c>
      <c r="R272" s="399"/>
      <c r="S272" s="399">
        <v>521.86</v>
      </c>
      <c r="T272" s="399">
        <v>141.32</v>
      </c>
      <c r="U272" s="399"/>
      <c r="V272" s="399">
        <v>5296.8186600000008</v>
      </c>
      <c r="W272" s="399">
        <v>5296.8186600000008</v>
      </c>
      <c r="X272" s="399">
        <v>4139.9017100000001</v>
      </c>
      <c r="Y272" s="399">
        <v>0</v>
      </c>
      <c r="Z272" s="399">
        <v>484.62753839577539</v>
      </c>
      <c r="AA272" s="399">
        <v>0</v>
      </c>
      <c r="AB272" s="399">
        <v>0</v>
      </c>
      <c r="AC272" s="399">
        <v>0</v>
      </c>
      <c r="AD272" s="399">
        <v>859.03221835712964</v>
      </c>
      <c r="AE272" s="399">
        <v>2595.3819985311657</v>
      </c>
      <c r="AF272" s="399">
        <v>1128.7142941654722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74.933972891241609</v>
      </c>
      <c r="AM272" s="399"/>
      <c r="AN272" s="399">
        <v>11.076904200920815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143.00642041383065</v>
      </c>
      <c r="BH272" s="399">
        <v>0</v>
      </c>
      <c r="BI272" s="399">
        <v>35.409999999999997</v>
      </c>
      <c r="BJ272" s="399">
        <v>164.24</v>
      </c>
      <c r="BK272" s="399">
        <v>4241.29</v>
      </c>
      <c r="BL272" s="399">
        <v>34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1271.7207145793029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4141.4567000000006</v>
      </c>
      <c r="CJ272" s="399">
        <v>-1155.3919600000008</v>
      </c>
      <c r="CK272" s="399"/>
      <c r="CL272" s="399"/>
      <c r="CM272" s="399"/>
      <c r="CN272" s="399"/>
      <c r="CO272" s="399">
        <v>-1156.9169500000003</v>
      </c>
      <c r="CP272" s="399">
        <v>0</v>
      </c>
      <c r="CQ272" s="399">
        <v>29</v>
      </c>
      <c r="CR272" s="399">
        <v>-35.587974288418536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-4.091315453765219</v>
      </c>
      <c r="DA272" s="399">
        <v>0</v>
      </c>
      <c r="DB272" s="399">
        <v>0</v>
      </c>
      <c r="DC272" s="399">
        <v>0</v>
      </c>
      <c r="DD272" s="399">
        <v>0</v>
      </c>
      <c r="DE272" s="399">
        <v>0</v>
      </c>
      <c r="DF272" s="399">
        <v>0</v>
      </c>
      <c r="DG272" s="399">
        <v>0</v>
      </c>
      <c r="DH272" s="399">
        <v>0</v>
      </c>
      <c r="DI272" s="399">
        <v>-27.305689898466937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-3.7443159259428853</v>
      </c>
      <c r="DP272" s="399">
        <v>-0.44665301024337545</v>
      </c>
      <c r="DQ272" s="399">
        <v>0</v>
      </c>
      <c r="DR272" s="399">
        <v>0</v>
      </c>
      <c r="DS272" s="399"/>
      <c r="DT272" s="399"/>
      <c r="DU272" s="399"/>
      <c r="DV272" s="399">
        <v>2595.3819985311657</v>
      </c>
      <c r="DW272" s="399">
        <v>0</v>
      </c>
      <c r="DX272" s="399">
        <v>0</v>
      </c>
      <c r="DY272" s="399">
        <v>-1156.9169500000003</v>
      </c>
      <c r="DZ272" s="399">
        <v>0</v>
      </c>
      <c r="EA272" s="399">
        <v>0</v>
      </c>
      <c r="EB272" s="399">
        <v>0</v>
      </c>
      <c r="EC272" s="399">
        <v>-1121.2553325673123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218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956</v>
      </c>
      <c r="C273" s="399" t="s">
        <v>2334</v>
      </c>
      <c r="D273" s="399" t="s">
        <v>533</v>
      </c>
      <c r="E273" s="399" t="s">
        <v>918</v>
      </c>
      <c r="F273" s="399" t="s">
        <v>1239</v>
      </c>
      <c r="G273" s="399" t="s">
        <v>1239</v>
      </c>
      <c r="H273" s="399" t="s">
        <v>1239</v>
      </c>
      <c r="I273" s="399" t="s">
        <v>893</v>
      </c>
      <c r="J273" s="399" t="s">
        <v>2329</v>
      </c>
      <c r="K273" s="789">
        <v>44593</v>
      </c>
      <c r="L273" s="399">
        <v>0</v>
      </c>
      <c r="M273" s="399">
        <v>0</v>
      </c>
      <c r="N273" s="399">
        <v>1.758</v>
      </c>
      <c r="O273" s="399">
        <v>1.758</v>
      </c>
      <c r="P273" s="399">
        <v>1.758</v>
      </c>
      <c r="Q273" s="399">
        <v>1.758</v>
      </c>
      <c r="R273" s="399"/>
      <c r="S273" s="399">
        <v>2741.05</v>
      </c>
      <c r="T273" s="399">
        <v>141.32</v>
      </c>
      <c r="U273" s="399"/>
      <c r="V273" s="399">
        <v>5067.2064600000003</v>
      </c>
      <c r="W273" s="399">
        <v>5067.2064600000003</v>
      </c>
      <c r="X273" s="399">
        <v>3628.3010399999998</v>
      </c>
      <c r="Y273" s="399">
        <v>0</v>
      </c>
      <c r="Z273" s="399">
        <v>92.803109412145076</v>
      </c>
      <c r="AA273" s="399">
        <v>0</v>
      </c>
      <c r="AB273" s="399">
        <v>0</v>
      </c>
      <c r="AC273" s="399">
        <v>0</v>
      </c>
      <c r="AD273" s="399">
        <v>1395.0810803070485</v>
      </c>
      <c r="AE273" s="399">
        <v>3301.1877587356898</v>
      </c>
      <c r="AF273" s="399">
        <v>248.4386789962314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16.49354254949327</v>
      </c>
      <c r="AM273" s="399"/>
      <c r="AN273" s="399">
        <v>1.0561051610576271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12.152980910902105</v>
      </c>
      <c r="BH273" s="399">
        <v>0</v>
      </c>
      <c r="BI273" s="399">
        <v>0</v>
      </c>
      <c r="BJ273" s="399">
        <v>0</v>
      </c>
      <c r="BK273" s="399">
        <v>0</v>
      </c>
      <c r="BL273" s="399">
        <v>0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260.59165990713353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3632.4287999999997</v>
      </c>
      <c r="CJ273" s="399">
        <v>-1434.8076600000013</v>
      </c>
      <c r="CK273" s="399"/>
      <c r="CL273" s="399"/>
      <c r="CM273" s="399"/>
      <c r="CN273" s="399"/>
      <c r="CO273" s="399">
        <v>-1438.9054200000005</v>
      </c>
      <c r="CP273" s="399">
        <v>0</v>
      </c>
      <c r="CQ273" s="399">
        <v>29</v>
      </c>
      <c r="CR273" s="399">
        <v>-12.739961931960124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-6.6443570580329379</v>
      </c>
      <c r="DA273" s="399">
        <v>0</v>
      </c>
      <c r="DB273" s="399">
        <v>0</v>
      </c>
      <c r="DC273" s="399">
        <v>0</v>
      </c>
      <c r="DD273" s="399">
        <v>0</v>
      </c>
      <c r="DE273" s="399">
        <v>0</v>
      </c>
      <c r="DF273" s="399">
        <v>0</v>
      </c>
      <c r="DG273" s="399">
        <v>0</v>
      </c>
      <c r="DH273" s="399">
        <v>0</v>
      </c>
      <c r="DI273" s="399">
        <v>-5.2288669678365522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-0.82415267281927918</v>
      </c>
      <c r="DP273" s="399">
        <v>-4.2585233271295486E-2</v>
      </c>
      <c r="DQ273" s="399">
        <v>0</v>
      </c>
      <c r="DR273" s="399">
        <v>0</v>
      </c>
      <c r="DS273" s="399"/>
      <c r="DT273" s="399"/>
      <c r="DU273" s="399"/>
      <c r="DV273" s="399">
        <v>3301.1877587356898</v>
      </c>
      <c r="DW273" s="399">
        <v>0</v>
      </c>
      <c r="DX273" s="399">
        <v>0</v>
      </c>
      <c r="DY273" s="399">
        <v>-1438.9054200000005</v>
      </c>
      <c r="DZ273" s="399">
        <v>0</v>
      </c>
      <c r="EA273" s="399">
        <v>0</v>
      </c>
      <c r="EB273" s="399">
        <v>0</v>
      </c>
      <c r="EC273" s="399">
        <v>-1426.1771024007871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218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956</v>
      </c>
      <c r="C274" s="399" t="s">
        <v>2334</v>
      </c>
      <c r="D274" s="399" t="s">
        <v>533</v>
      </c>
      <c r="E274" s="399" t="s">
        <v>918</v>
      </c>
      <c r="F274" s="399" t="s">
        <v>1239</v>
      </c>
      <c r="G274" s="399" t="s">
        <v>1239</v>
      </c>
      <c r="H274" s="399" t="s">
        <v>1239</v>
      </c>
      <c r="I274" s="399" t="s">
        <v>2326</v>
      </c>
      <c r="J274" s="399" t="s">
        <v>2329</v>
      </c>
      <c r="K274" s="789">
        <v>44593</v>
      </c>
      <c r="L274" s="399">
        <v>0</v>
      </c>
      <c r="M274" s="399">
        <v>0</v>
      </c>
      <c r="N274" s="399">
        <v>27.552</v>
      </c>
      <c r="O274" s="399">
        <v>27.552</v>
      </c>
      <c r="P274" s="399">
        <v>27.552</v>
      </c>
      <c r="Q274" s="399">
        <v>27.552</v>
      </c>
      <c r="R274" s="399"/>
      <c r="S274" s="399">
        <v>69.680000000000007</v>
      </c>
      <c r="T274" s="399">
        <v>141.32</v>
      </c>
      <c r="U274" s="399"/>
      <c r="V274" s="399">
        <v>5813.4719999999998</v>
      </c>
      <c r="W274" s="399">
        <v>5813.4719999999998</v>
      </c>
      <c r="X274" s="399">
        <v>5718.1420799999996</v>
      </c>
      <c r="Y274" s="399">
        <v>0</v>
      </c>
      <c r="Z274" s="399">
        <v>1454.4432710599665</v>
      </c>
      <c r="AA274" s="399">
        <v>0</v>
      </c>
      <c r="AB274" s="399">
        <v>0</v>
      </c>
      <c r="AC274" s="399">
        <v>0</v>
      </c>
      <c r="AD274" s="399">
        <v>0</v>
      </c>
      <c r="AE274" s="399">
        <v>0</v>
      </c>
      <c r="AF274" s="399">
        <v>3893.6191602412787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258.49265319888428</v>
      </c>
      <c r="AM274" s="399"/>
      <c r="AN274" s="399">
        <v>16.55165494736049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190.46583052171491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4084.0849907629936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5717.7269999999999</v>
      </c>
      <c r="CJ274" s="399">
        <v>-95.775000000000546</v>
      </c>
      <c r="CK274" s="399"/>
      <c r="CL274" s="399"/>
      <c r="CM274" s="399"/>
      <c r="CN274" s="399"/>
      <c r="CO274" s="399">
        <v>-95.329920000000214</v>
      </c>
      <c r="CP274" s="399">
        <v>0</v>
      </c>
      <c r="CQ274" s="399">
        <v>29</v>
      </c>
      <c r="CR274" s="399">
        <v>-95.532483211854924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0</v>
      </c>
      <c r="DA274" s="399">
        <v>0</v>
      </c>
      <c r="DB274" s="399">
        <v>0</v>
      </c>
      <c r="DC274" s="399">
        <v>0</v>
      </c>
      <c r="DD274" s="399">
        <v>0</v>
      </c>
      <c r="DE274" s="399">
        <v>0</v>
      </c>
      <c r="DF274" s="399">
        <v>0</v>
      </c>
      <c r="DG274" s="399">
        <v>0</v>
      </c>
      <c r="DH274" s="399">
        <v>0</v>
      </c>
      <c r="DI274" s="399">
        <v>-81.948659100018631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-12.916413220430485</v>
      </c>
      <c r="DP274" s="399">
        <v>-0.66741089140542265</v>
      </c>
      <c r="DQ274" s="399">
        <v>0</v>
      </c>
      <c r="DR274" s="399">
        <v>0</v>
      </c>
      <c r="DS274" s="399"/>
      <c r="DT274" s="399"/>
      <c r="DU274" s="399"/>
      <c r="DV274" s="399">
        <v>0</v>
      </c>
      <c r="DW274" s="399">
        <v>0</v>
      </c>
      <c r="DX274" s="399">
        <v>0</v>
      </c>
      <c r="DY274" s="399">
        <v>-95.329920000000129</v>
      </c>
      <c r="DZ274" s="399">
        <v>0</v>
      </c>
      <c r="EA274" s="399">
        <v>0</v>
      </c>
      <c r="EB274" s="399">
        <v>0</v>
      </c>
      <c r="EC274" s="399">
        <v>0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218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956</v>
      </c>
      <c r="C275" s="399" t="s">
        <v>2334</v>
      </c>
      <c r="D275" s="399" t="s">
        <v>533</v>
      </c>
      <c r="E275" s="399" t="s">
        <v>918</v>
      </c>
      <c r="F275" s="399" t="s">
        <v>1239</v>
      </c>
      <c r="G275" s="399" t="s">
        <v>1239</v>
      </c>
      <c r="H275" s="399" t="s">
        <v>1239</v>
      </c>
      <c r="I275" s="399" t="s">
        <v>1239</v>
      </c>
      <c r="J275" s="399" t="s">
        <v>2329</v>
      </c>
      <c r="K275" s="789">
        <v>44593</v>
      </c>
      <c r="L275" s="399">
        <v>321</v>
      </c>
      <c r="M275" s="399">
        <v>321</v>
      </c>
      <c r="N275" s="399">
        <v>0</v>
      </c>
      <c r="O275" s="399">
        <v>0</v>
      </c>
      <c r="P275" s="399">
        <v>0</v>
      </c>
      <c r="Q275" s="399">
        <v>0</v>
      </c>
      <c r="R275" s="399">
        <v>35.15</v>
      </c>
      <c r="S275" s="399"/>
      <c r="T275" s="399"/>
      <c r="U275" s="399">
        <v>11283.15</v>
      </c>
      <c r="V275" s="399"/>
      <c r="W275" s="399">
        <v>11283.15</v>
      </c>
      <c r="X275" s="399">
        <v>8236.86</v>
      </c>
      <c r="Y275" s="399">
        <v>0</v>
      </c>
      <c r="Z275" s="399">
        <v>0</v>
      </c>
      <c r="AA275" s="399">
        <v>0</v>
      </c>
      <c r="AB275" s="399">
        <v>0</v>
      </c>
      <c r="AC275" s="399">
        <v>0</v>
      </c>
      <c r="AD275" s="399">
        <v>4279.3708269004928</v>
      </c>
      <c r="AE275" s="399">
        <v>7003.5706880319394</v>
      </c>
      <c r="AF275" s="399"/>
      <c r="AG275" s="399"/>
      <c r="AH275" s="399"/>
      <c r="AI275" s="399">
        <v>0</v>
      </c>
      <c r="AJ275" s="399">
        <v>0</v>
      </c>
      <c r="AK275" s="399">
        <v>0</v>
      </c>
      <c r="AL275" s="399">
        <v>0</v>
      </c>
      <c r="AM275" s="399"/>
      <c r="AN275" s="399">
        <v>0</v>
      </c>
      <c r="AO275" s="399">
        <v>0</v>
      </c>
      <c r="AP275" s="399">
        <v>0</v>
      </c>
      <c r="AQ275" s="399">
        <v>0</v>
      </c>
      <c r="AR275" s="399">
        <v>0</v>
      </c>
      <c r="AS275" s="399"/>
      <c r="AT275" s="399"/>
      <c r="AU275" s="399">
        <v>0</v>
      </c>
      <c r="AV275" s="399">
        <v>0</v>
      </c>
      <c r="AW275" s="399">
        <v>0</v>
      </c>
      <c r="AX275" s="399"/>
      <c r="AY275" s="399"/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/>
      <c r="BG275" s="399">
        <v>0</v>
      </c>
      <c r="BH275" s="399">
        <v>0</v>
      </c>
      <c r="BI275" s="399">
        <v>153.94999999999999</v>
      </c>
      <c r="BJ275" s="399">
        <v>710.63</v>
      </c>
      <c r="BK275" s="399">
        <v>7771.55</v>
      </c>
      <c r="BL275" s="399">
        <v>3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0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8236.86</v>
      </c>
      <c r="CJ275" s="399">
        <v>-3046.3199999999997</v>
      </c>
      <c r="CK275" s="399"/>
      <c r="CL275" s="399"/>
      <c r="CM275" s="399"/>
      <c r="CN275" s="399"/>
      <c r="CO275" s="399">
        <v>-3046.2899999999995</v>
      </c>
      <c r="CP275" s="399">
        <v>0</v>
      </c>
      <c r="CQ275" s="399">
        <v>29</v>
      </c>
      <c r="CR275" s="399">
        <v>-20.381372924476636</v>
      </c>
      <c r="CS275" s="399">
        <v>0</v>
      </c>
      <c r="CT275" s="399">
        <v>0</v>
      </c>
      <c r="CU275" s="399">
        <v>0</v>
      </c>
      <c r="CV275" s="399">
        <v>0</v>
      </c>
      <c r="CW275" s="399"/>
      <c r="CX275" s="399"/>
      <c r="CY275" s="399"/>
      <c r="CZ275" s="399">
        <v>-20.381372924476636</v>
      </c>
      <c r="DA275" s="399">
        <v>0</v>
      </c>
      <c r="DB275" s="399">
        <v>0</v>
      </c>
      <c r="DC275" s="399"/>
      <c r="DD275" s="399"/>
      <c r="DE275" s="399">
        <v>0</v>
      </c>
      <c r="DF275" s="399">
        <v>0</v>
      </c>
      <c r="DG275" s="399">
        <v>0</v>
      </c>
      <c r="DH275" s="399">
        <v>0</v>
      </c>
      <c r="DI275" s="399">
        <v>0</v>
      </c>
      <c r="DJ275" s="399"/>
      <c r="DK275" s="399">
        <v>0</v>
      </c>
      <c r="DL275" s="399">
        <v>0</v>
      </c>
      <c r="DM275" s="399"/>
      <c r="DN275" s="399">
        <v>0</v>
      </c>
      <c r="DO275" s="399">
        <v>0</v>
      </c>
      <c r="DP275" s="399">
        <v>0</v>
      </c>
      <c r="DQ275" s="399">
        <v>0</v>
      </c>
      <c r="DR275" s="399">
        <v>0</v>
      </c>
      <c r="DS275" s="399"/>
      <c r="DT275" s="399"/>
      <c r="DU275" s="399">
        <v>7003.5706880319394</v>
      </c>
      <c r="DV275" s="399"/>
      <c r="DW275" s="399">
        <v>0</v>
      </c>
      <c r="DX275" s="399">
        <v>0</v>
      </c>
      <c r="DY275" s="399">
        <v>-3046.2899999999991</v>
      </c>
      <c r="DZ275" s="399"/>
      <c r="EA275" s="399">
        <v>0</v>
      </c>
      <c r="EB275" s="399"/>
      <c r="EC275" s="399">
        <v>-3025.6782952999479</v>
      </c>
      <c r="ED275" s="399"/>
      <c r="EE275" s="399">
        <v>0</v>
      </c>
      <c r="EF275" s="399">
        <v>0</v>
      </c>
      <c r="EG275" s="399"/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/>
      <c r="EN275" s="399"/>
      <c r="EO275" s="399">
        <v>0</v>
      </c>
      <c r="EP275" s="399">
        <v>0</v>
      </c>
      <c r="EQ275" s="399"/>
      <c r="ER275" s="399">
        <v>0</v>
      </c>
      <c r="ES275" s="399"/>
      <c r="ET275" s="399">
        <v>0</v>
      </c>
      <c r="EU275" s="399"/>
      <c r="EV275" s="399">
        <v>218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956</v>
      </c>
      <c r="C276" s="399" t="s">
        <v>2328</v>
      </c>
      <c r="D276" s="399" t="s">
        <v>2335</v>
      </c>
      <c r="E276" s="399" t="s">
        <v>894</v>
      </c>
      <c r="F276" s="399" t="s">
        <v>1239</v>
      </c>
      <c r="G276" s="399" t="s">
        <v>1239</v>
      </c>
      <c r="H276" s="399" t="s">
        <v>1239</v>
      </c>
      <c r="I276" s="399" t="s">
        <v>1239</v>
      </c>
      <c r="J276" s="399" t="s">
        <v>2329</v>
      </c>
      <c r="K276" s="789">
        <v>44593</v>
      </c>
      <c r="L276" s="399">
        <v>0</v>
      </c>
      <c r="M276" s="399">
        <v>0</v>
      </c>
      <c r="N276" s="399">
        <v>3680.212</v>
      </c>
      <c r="O276" s="399">
        <v>3680.212</v>
      </c>
      <c r="P276" s="399">
        <v>3680.212</v>
      </c>
      <c r="Q276" s="399">
        <v>3680.212</v>
      </c>
      <c r="R276" s="399"/>
      <c r="S276" s="399">
        <v>521.86</v>
      </c>
      <c r="T276" s="399">
        <v>141.32</v>
      </c>
      <c r="U276" s="399"/>
      <c r="V276" s="399">
        <v>2440642.9941600002</v>
      </c>
      <c r="W276" s="399">
        <v>2440642.9941600002</v>
      </c>
      <c r="X276" s="399">
        <v>1907564.28596</v>
      </c>
      <c r="Y276" s="399">
        <v>0</v>
      </c>
      <c r="Z276" s="399">
        <v>223304.37990917658</v>
      </c>
      <c r="AA276" s="399">
        <v>0</v>
      </c>
      <c r="AB276" s="399">
        <v>0</v>
      </c>
      <c r="AC276" s="399">
        <v>0</v>
      </c>
      <c r="AD276" s="399">
        <v>395820.79358764604</v>
      </c>
      <c r="AE276" s="399">
        <v>1195887.8146460971</v>
      </c>
      <c r="AF276" s="399">
        <v>520083.6221308753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34527.720826595978</v>
      </c>
      <c r="AM276" s="399"/>
      <c r="AN276" s="399">
        <v>5103.9634109276567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65893.820518846187</v>
      </c>
      <c r="BH276" s="399">
        <v>0</v>
      </c>
      <c r="BI276" s="399">
        <v>16367.25</v>
      </c>
      <c r="BJ276" s="399">
        <v>75669.14</v>
      </c>
      <c r="BK276" s="399">
        <v>600019.91</v>
      </c>
      <c r="BL276" s="399">
        <v>5613</v>
      </c>
      <c r="BM276" s="399"/>
      <c r="BN276" s="399"/>
      <c r="BO276" s="399"/>
      <c r="BP276" s="399"/>
      <c r="BQ276" s="399"/>
      <c r="BR276" s="399">
        <v>228909.18640000001</v>
      </c>
      <c r="BS276" s="399"/>
      <c r="BT276" s="399"/>
      <c r="BU276" s="399"/>
      <c r="BV276" s="399">
        <v>585977.44264972152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1678654.1872999999</v>
      </c>
      <c r="CJ276" s="399">
        <v>-469080.76378000015</v>
      </c>
      <c r="CK276" s="399"/>
      <c r="CL276" s="399"/>
      <c r="CM276" s="399"/>
      <c r="CN276" s="399"/>
      <c r="CO276" s="399">
        <v>-533078.70820000011</v>
      </c>
      <c r="CP276" s="399">
        <v>0</v>
      </c>
      <c r="CQ276" s="399">
        <v>29</v>
      </c>
      <c r="CR276" s="399">
        <v>-16398.058098401176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-1885.1769411208224</v>
      </c>
      <c r="DA276" s="399">
        <v>0</v>
      </c>
      <c r="DB276" s="399">
        <v>0</v>
      </c>
      <c r="DC276" s="399">
        <v>0</v>
      </c>
      <c r="DD276" s="399">
        <v>0</v>
      </c>
      <c r="DE276" s="399">
        <v>0</v>
      </c>
      <c r="DF276" s="399">
        <v>0</v>
      </c>
      <c r="DG276" s="399">
        <v>0</v>
      </c>
      <c r="DH276" s="399">
        <v>0</v>
      </c>
      <c r="DI276" s="399">
        <v>-12581.786356907076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-1725.2881435390154</v>
      </c>
      <c r="DP276" s="399">
        <v>-205.80665683407915</v>
      </c>
      <c r="DQ276" s="399">
        <v>0</v>
      </c>
      <c r="DR276" s="399">
        <v>0</v>
      </c>
      <c r="DS276" s="399"/>
      <c r="DT276" s="399"/>
      <c r="DU276" s="399"/>
      <c r="DV276" s="399">
        <v>1195887.8146460971</v>
      </c>
      <c r="DW276" s="399">
        <v>0</v>
      </c>
      <c r="DX276" s="399">
        <v>0</v>
      </c>
      <c r="DY276" s="399">
        <v>-533078.70819999999</v>
      </c>
      <c r="DZ276" s="399">
        <v>0</v>
      </c>
      <c r="EA276" s="399">
        <v>0</v>
      </c>
      <c r="EB276" s="399">
        <v>0</v>
      </c>
      <c r="EC276" s="399">
        <v>-516646.71716266603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218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2360</v>
      </c>
      <c r="C277" s="399" t="s">
        <v>2328</v>
      </c>
      <c r="D277" s="399" t="s">
        <v>2335</v>
      </c>
      <c r="E277" s="399" t="s">
        <v>894</v>
      </c>
      <c r="F277" s="399" t="s">
        <v>1239</v>
      </c>
      <c r="G277" s="399" t="s">
        <v>1239</v>
      </c>
      <c r="H277" s="399" t="s">
        <v>1239</v>
      </c>
      <c r="I277" s="399" t="s">
        <v>1239</v>
      </c>
      <c r="J277" s="399" t="s">
        <v>2329</v>
      </c>
      <c r="K277" s="789">
        <v>44593</v>
      </c>
      <c r="L277" s="399">
        <v>0</v>
      </c>
      <c r="M277" s="399">
        <v>0</v>
      </c>
      <c r="N277" s="399">
        <v>0.75800000000000001</v>
      </c>
      <c r="O277" s="399">
        <v>0.75800000000000001</v>
      </c>
      <c r="P277" s="399">
        <v>0.75800000000000001</v>
      </c>
      <c r="Q277" s="399">
        <v>0.75800000000000001</v>
      </c>
      <c r="R277" s="399"/>
      <c r="S277" s="399">
        <v>521.86</v>
      </c>
      <c r="T277" s="399">
        <v>141.32</v>
      </c>
      <c r="U277" s="399"/>
      <c r="V277" s="399">
        <v>502.69044000000002</v>
      </c>
      <c r="W277" s="399">
        <v>502.69044000000002</v>
      </c>
      <c r="X277" s="399">
        <v>392.89413999999999</v>
      </c>
      <c r="Y277" s="399">
        <v>0</v>
      </c>
      <c r="Z277" s="399">
        <v>45.993198210091116</v>
      </c>
      <c r="AA277" s="399">
        <v>0</v>
      </c>
      <c r="AB277" s="399">
        <v>0</v>
      </c>
      <c r="AC277" s="399">
        <v>0</v>
      </c>
      <c r="AD277" s="399">
        <v>81.525782085226524</v>
      </c>
      <c r="AE277" s="399">
        <v>246.31270250239433</v>
      </c>
      <c r="AF277" s="399">
        <v>107.1197489642454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7.1115502005209885</v>
      </c>
      <c r="AM277" s="399"/>
      <c r="AN277" s="399">
        <v>1.0512449460746185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13.571912692335498</v>
      </c>
      <c r="BH277" s="399">
        <v>0</v>
      </c>
      <c r="BI277" s="399">
        <v>3.37</v>
      </c>
      <c r="BJ277" s="399">
        <v>15.59</v>
      </c>
      <c r="BK277" s="399">
        <v>115.11</v>
      </c>
      <c r="BL277" s="399">
        <v>0</v>
      </c>
      <c r="BM277" s="399"/>
      <c r="BN277" s="399"/>
      <c r="BO277" s="399"/>
      <c r="BP277" s="399"/>
      <c r="BQ277" s="399"/>
      <c r="BR277" s="399">
        <v>47.147599999999997</v>
      </c>
      <c r="BS277" s="399"/>
      <c r="BT277" s="399"/>
      <c r="BU277" s="399"/>
      <c r="BV277" s="399">
        <v>120.69166165658091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346.65879999999999</v>
      </c>
      <c r="CJ277" s="399">
        <v>-95.732419999999991</v>
      </c>
      <c r="CK277" s="399"/>
      <c r="CL277" s="399"/>
      <c r="CM277" s="399"/>
      <c r="CN277" s="399"/>
      <c r="CO277" s="399">
        <v>-109.79630000000002</v>
      </c>
      <c r="CP277" s="399">
        <v>0</v>
      </c>
      <c r="CQ277" s="399">
        <v>29</v>
      </c>
      <c r="CR277" s="399">
        <v>-3.3774489183198853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-0.38828309928058502</v>
      </c>
      <c r="DA277" s="399">
        <v>0</v>
      </c>
      <c r="DB277" s="399">
        <v>0</v>
      </c>
      <c r="DC277" s="399">
        <v>0</v>
      </c>
      <c r="DD277" s="399">
        <v>0</v>
      </c>
      <c r="DE277" s="399">
        <v>0</v>
      </c>
      <c r="DF277" s="399">
        <v>0</v>
      </c>
      <c r="DG277" s="399">
        <v>0</v>
      </c>
      <c r="DH277" s="399">
        <v>0</v>
      </c>
      <c r="DI277" s="399">
        <v>-2.5914251838034232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-0.35535137997554767</v>
      </c>
      <c r="DP277" s="399">
        <v>-4.2389255260357972E-2</v>
      </c>
      <c r="DQ277" s="399">
        <v>0</v>
      </c>
      <c r="DR277" s="399">
        <v>0</v>
      </c>
      <c r="DS277" s="399"/>
      <c r="DT277" s="399"/>
      <c r="DU277" s="399"/>
      <c r="DV277" s="399">
        <v>246.31270250239433</v>
      </c>
      <c r="DW277" s="399">
        <v>0</v>
      </c>
      <c r="DX277" s="399">
        <v>0</v>
      </c>
      <c r="DY277" s="399">
        <v>-109.79630000000003</v>
      </c>
      <c r="DZ277" s="399">
        <v>0</v>
      </c>
      <c r="EA277" s="399">
        <v>0</v>
      </c>
      <c r="EB277" s="399">
        <v>0</v>
      </c>
      <c r="EC277" s="399">
        <v>-106.41186203656227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218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2361</v>
      </c>
      <c r="C278" s="399" t="s">
        <v>2328</v>
      </c>
      <c r="D278" s="399" t="s">
        <v>2335</v>
      </c>
      <c r="E278" s="399" t="s">
        <v>894</v>
      </c>
      <c r="F278" s="399" t="s">
        <v>1239</v>
      </c>
      <c r="G278" s="399" t="s">
        <v>1239</v>
      </c>
      <c r="H278" s="399" t="s">
        <v>1239</v>
      </c>
      <c r="I278" s="399" t="s">
        <v>1239</v>
      </c>
      <c r="J278" s="399" t="s">
        <v>2329</v>
      </c>
      <c r="K278" s="789">
        <v>44593</v>
      </c>
      <c r="L278" s="399">
        <v>0</v>
      </c>
      <c r="M278" s="399">
        <v>0</v>
      </c>
      <c r="N278" s="399">
        <v>311.85500000000002</v>
      </c>
      <c r="O278" s="399">
        <v>311.85500000000002</v>
      </c>
      <c r="P278" s="399">
        <v>311.85500000000002</v>
      </c>
      <c r="Q278" s="399">
        <v>311.85500000000002</v>
      </c>
      <c r="R278" s="399"/>
      <c r="S278" s="399">
        <v>521.86</v>
      </c>
      <c r="T278" s="399">
        <v>141.32</v>
      </c>
      <c r="U278" s="399"/>
      <c r="V278" s="399">
        <v>206815.99890000001</v>
      </c>
      <c r="W278" s="399">
        <v>206815.99890000001</v>
      </c>
      <c r="X278" s="399">
        <v>161643.80215</v>
      </c>
      <c r="Y278" s="399">
        <v>0</v>
      </c>
      <c r="Z278" s="399">
        <v>18922.439086817896</v>
      </c>
      <c r="AA278" s="399">
        <v>0</v>
      </c>
      <c r="AB278" s="399">
        <v>0</v>
      </c>
      <c r="AC278" s="399">
        <v>0</v>
      </c>
      <c r="AD278" s="399">
        <v>33541.190992332879</v>
      </c>
      <c r="AE278" s="399">
        <v>101337.53013045408</v>
      </c>
      <c r="AF278" s="399">
        <v>44071.014925125004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2925.8212239887507</v>
      </c>
      <c r="AM278" s="399"/>
      <c r="AN278" s="399">
        <v>432.50130957533003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5583.731969219376</v>
      </c>
      <c r="BH278" s="399">
        <v>0</v>
      </c>
      <c r="BI278" s="399">
        <v>1392.68</v>
      </c>
      <c r="BJ278" s="399">
        <v>6438.96</v>
      </c>
      <c r="BK278" s="399">
        <v>124866.94</v>
      </c>
      <c r="BL278" s="399">
        <v>542</v>
      </c>
      <c r="BM278" s="399"/>
      <c r="BN278" s="399"/>
      <c r="BO278" s="399"/>
      <c r="BP278" s="399"/>
      <c r="BQ278" s="399"/>
      <c r="BR278" s="399">
        <v>19397.381000000001</v>
      </c>
      <c r="BS278" s="399"/>
      <c r="BT278" s="399"/>
      <c r="BU278" s="399"/>
      <c r="BV278" s="399">
        <v>49654.746894344382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142248.70179999998</v>
      </c>
      <c r="CJ278" s="399">
        <v>-39746.787650000071</v>
      </c>
      <c r="CK278" s="399"/>
      <c r="CL278" s="399"/>
      <c r="CM278" s="399"/>
      <c r="CN278" s="399"/>
      <c r="CO278" s="399">
        <v>-45172.19675000001</v>
      </c>
      <c r="CP278" s="399">
        <v>0</v>
      </c>
      <c r="CQ278" s="399">
        <v>29</v>
      </c>
      <c r="CR278" s="399">
        <v>-1389.543974172353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-159.74673605032876</v>
      </c>
      <c r="DA278" s="399">
        <v>0</v>
      </c>
      <c r="DB278" s="399">
        <v>0</v>
      </c>
      <c r="DC278" s="399">
        <v>0</v>
      </c>
      <c r="DD278" s="399">
        <v>0</v>
      </c>
      <c r="DE278" s="399">
        <v>0</v>
      </c>
      <c r="DF278" s="399">
        <v>0</v>
      </c>
      <c r="DG278" s="399">
        <v>0</v>
      </c>
      <c r="DH278" s="399">
        <v>0</v>
      </c>
      <c r="DI278" s="399">
        <v>-1066.1594995976448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-146.19802717978155</v>
      </c>
      <c r="DP278" s="399">
        <v>-17.439711344615944</v>
      </c>
      <c r="DQ278" s="399">
        <v>0</v>
      </c>
      <c r="DR278" s="399">
        <v>0</v>
      </c>
      <c r="DS278" s="399"/>
      <c r="DT278" s="399"/>
      <c r="DU278" s="399"/>
      <c r="DV278" s="399">
        <v>101337.53013045408</v>
      </c>
      <c r="DW278" s="399">
        <v>0</v>
      </c>
      <c r="DX278" s="399">
        <v>0</v>
      </c>
      <c r="DY278" s="399">
        <v>-45172.196750000003</v>
      </c>
      <c r="DZ278" s="399">
        <v>0</v>
      </c>
      <c r="EA278" s="399">
        <v>0</v>
      </c>
      <c r="EB278" s="399">
        <v>0</v>
      </c>
      <c r="EC278" s="399">
        <v>-43779.777355424972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218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2361</v>
      </c>
      <c r="C279" s="399" t="s">
        <v>2328</v>
      </c>
      <c r="D279" s="399" t="s">
        <v>2335</v>
      </c>
      <c r="E279" s="399" t="s">
        <v>894</v>
      </c>
      <c r="F279" s="399" t="s">
        <v>1239</v>
      </c>
      <c r="G279" s="399" t="s">
        <v>1239</v>
      </c>
      <c r="H279" s="399" t="s">
        <v>1239</v>
      </c>
      <c r="I279" s="399" t="s">
        <v>1239</v>
      </c>
      <c r="J279" s="399" t="s">
        <v>2329</v>
      </c>
      <c r="K279" s="789">
        <v>44593</v>
      </c>
      <c r="L279" s="399">
        <v>0</v>
      </c>
      <c r="M279" s="399">
        <v>0</v>
      </c>
      <c r="N279" s="399">
        <v>-7.0259999999999998</v>
      </c>
      <c r="O279" s="399">
        <v>-7.0259999999999998</v>
      </c>
      <c r="P279" s="399">
        <v>-7.0259999999999998</v>
      </c>
      <c r="Q279" s="399">
        <v>-7.0259999999999998</v>
      </c>
      <c r="R279" s="399"/>
      <c r="S279" s="399">
        <v>521.86</v>
      </c>
      <c r="T279" s="399">
        <v>141.32</v>
      </c>
      <c r="U279" s="399"/>
      <c r="V279" s="399">
        <v>-4659.5026800000005</v>
      </c>
      <c r="W279" s="399">
        <v>-4659.5026800000005</v>
      </c>
      <c r="X279" s="399">
        <v>-3641.7865799999995</v>
      </c>
      <c r="Y279" s="399">
        <v>0</v>
      </c>
      <c r="Z279" s="399">
        <v>-426.31690055949889</v>
      </c>
      <c r="AA279" s="399">
        <v>0</v>
      </c>
      <c r="AB279" s="399">
        <v>0</v>
      </c>
      <c r="AC279" s="399">
        <v>0</v>
      </c>
      <c r="AD279" s="399">
        <v>-755.6730144205826</v>
      </c>
      <c r="AE279" s="399">
        <v>-2283.1042846725891</v>
      </c>
      <c r="AF279" s="399">
        <v>-992.90680240473375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-65.917878243879244</v>
      </c>
      <c r="AM279" s="399"/>
      <c r="AN279" s="399">
        <v>-9.7441253181006182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-125.79981342526281</v>
      </c>
      <c r="BH279" s="399">
        <v>0</v>
      </c>
      <c r="BI279" s="399">
        <v>-31.3</v>
      </c>
      <c r="BJ279" s="399">
        <v>-144.44999999999999</v>
      </c>
      <c r="BK279" s="399">
        <v>-1552.92</v>
      </c>
      <c r="BL279" s="399">
        <v>5</v>
      </c>
      <c r="BM279" s="399"/>
      <c r="BN279" s="399"/>
      <c r="BO279" s="399"/>
      <c r="BP279" s="399"/>
      <c r="BQ279" s="399"/>
      <c r="BR279" s="399">
        <v>-437.0172</v>
      </c>
      <c r="BS279" s="399"/>
      <c r="BT279" s="399"/>
      <c r="BU279" s="399"/>
      <c r="BV279" s="399">
        <v>-1118.7066158299965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-3206.5938999999998</v>
      </c>
      <c r="CJ279" s="399">
        <v>893.67943999999989</v>
      </c>
      <c r="CK279" s="399"/>
      <c r="CL279" s="399"/>
      <c r="CM279" s="399"/>
      <c r="CN279" s="399"/>
      <c r="CO279" s="399">
        <v>1017.7161000000001</v>
      </c>
      <c r="CP279" s="399">
        <v>0</v>
      </c>
      <c r="CQ279" s="399">
        <v>29</v>
      </c>
      <c r="CR279" s="399">
        <v>31.30601068616852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3.59904624742137</v>
      </c>
      <c r="DA279" s="399">
        <v>0</v>
      </c>
      <c r="DB279" s="399">
        <v>0</v>
      </c>
      <c r="DC279" s="399">
        <v>0</v>
      </c>
      <c r="DD279" s="399">
        <v>0</v>
      </c>
      <c r="DE279" s="399">
        <v>0</v>
      </c>
      <c r="DF279" s="399">
        <v>0</v>
      </c>
      <c r="DG279" s="399">
        <v>0</v>
      </c>
      <c r="DH279" s="399">
        <v>0</v>
      </c>
      <c r="DI279" s="399">
        <v>24.020255067813764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3.2937978835200497</v>
      </c>
      <c r="DP279" s="399">
        <v>0.39291148741328996</v>
      </c>
      <c r="DQ279" s="399">
        <v>0</v>
      </c>
      <c r="DR279" s="399">
        <v>0</v>
      </c>
      <c r="DS279" s="399"/>
      <c r="DT279" s="399"/>
      <c r="DU279" s="399"/>
      <c r="DV279" s="399">
        <v>-2283.1042846725891</v>
      </c>
      <c r="DW279" s="399">
        <v>0</v>
      </c>
      <c r="DX279" s="399">
        <v>0</v>
      </c>
      <c r="DY279" s="399">
        <v>1017.7161000000006</v>
      </c>
      <c r="DZ279" s="399">
        <v>0</v>
      </c>
      <c r="EA279" s="399">
        <v>0</v>
      </c>
      <c r="EB279" s="399">
        <v>0</v>
      </c>
      <c r="EC279" s="399">
        <v>986.3453069510374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218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956</v>
      </c>
      <c r="C280" s="399" t="s">
        <v>2334</v>
      </c>
      <c r="D280" s="399" t="s">
        <v>533</v>
      </c>
      <c r="E280" s="399" t="s">
        <v>894</v>
      </c>
      <c r="F280" s="399" t="s">
        <v>1239</v>
      </c>
      <c r="G280" s="399" t="s">
        <v>1239</v>
      </c>
      <c r="H280" s="399" t="s">
        <v>1239</v>
      </c>
      <c r="I280" s="399" t="s">
        <v>893</v>
      </c>
      <c r="J280" s="399" t="s">
        <v>2329</v>
      </c>
      <c r="K280" s="789">
        <v>44593</v>
      </c>
      <c r="L280" s="399">
        <v>0</v>
      </c>
      <c r="M280" s="399">
        <v>0</v>
      </c>
      <c r="N280" s="399">
        <v>2.2130000000000001</v>
      </c>
      <c r="O280" s="399">
        <v>2.1244800000000001</v>
      </c>
      <c r="P280" s="399">
        <v>2.2130000000000001</v>
      </c>
      <c r="Q280" s="399">
        <v>2.1244800000000001</v>
      </c>
      <c r="R280" s="399"/>
      <c r="S280" s="399">
        <v>2741.05</v>
      </c>
      <c r="T280" s="399">
        <v>141.32</v>
      </c>
      <c r="U280" s="399"/>
      <c r="V280" s="399">
        <v>6378.6848100000007</v>
      </c>
      <c r="W280" s="399">
        <v>6378.6848100000007</v>
      </c>
      <c r="X280" s="399">
        <v>4567.3664399999998</v>
      </c>
      <c r="Y280" s="399">
        <v>0</v>
      </c>
      <c r="Z280" s="399">
        <v>116.82211668320652</v>
      </c>
      <c r="AA280" s="399">
        <v>0</v>
      </c>
      <c r="AB280" s="399">
        <v>0</v>
      </c>
      <c r="AC280" s="399">
        <v>0</v>
      </c>
      <c r="AD280" s="399">
        <v>1756.151553310295</v>
      </c>
      <c r="AE280" s="399">
        <v>4155.5907338350862</v>
      </c>
      <c r="AF280" s="399">
        <v>312.73879216078507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20.762349068275658</v>
      </c>
      <c r="AM280" s="399"/>
      <c r="AN280" s="399">
        <v>1.3294429587147492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15.298376994212946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>
        <v>182.69465759999986</v>
      </c>
      <c r="BS280" s="399"/>
      <c r="BT280" s="399"/>
      <c r="BU280" s="399"/>
      <c r="BV280" s="399">
        <v>328.03716915499803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4375.4256000000005</v>
      </c>
      <c r="CJ280" s="399">
        <v>-1748.1418176000006</v>
      </c>
      <c r="CK280" s="399"/>
      <c r="CL280" s="399"/>
      <c r="CM280" s="399"/>
      <c r="CN280" s="399"/>
      <c r="CO280" s="399">
        <v>-1811.3183700000006</v>
      </c>
      <c r="CP280" s="399">
        <v>0</v>
      </c>
      <c r="CQ280" s="399">
        <v>29</v>
      </c>
      <c r="CR280" s="399">
        <v>-16.037278586705725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-8.3640285377855434</v>
      </c>
      <c r="DA280" s="399">
        <v>0</v>
      </c>
      <c r="DB280" s="399">
        <v>0</v>
      </c>
      <c r="DC280" s="399">
        <v>0</v>
      </c>
      <c r="DD280" s="399">
        <v>0</v>
      </c>
      <c r="DE280" s="399">
        <v>0</v>
      </c>
      <c r="DF280" s="399">
        <v>0</v>
      </c>
      <c r="DG280" s="399">
        <v>0</v>
      </c>
      <c r="DH280" s="399">
        <v>0</v>
      </c>
      <c r="DI280" s="399">
        <v>-6.5821857791935656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-1.0374572610631745</v>
      </c>
      <c r="DP280" s="399">
        <v>-5.3607008662899469E-2</v>
      </c>
      <c r="DQ280" s="399">
        <v>0</v>
      </c>
      <c r="DR280" s="399">
        <v>0</v>
      </c>
      <c r="DS280" s="399"/>
      <c r="DT280" s="399"/>
      <c r="DU280" s="399"/>
      <c r="DV280" s="399">
        <v>4155.5907338350862</v>
      </c>
      <c r="DW280" s="399">
        <v>0</v>
      </c>
      <c r="DX280" s="399">
        <v>0</v>
      </c>
      <c r="DY280" s="399">
        <v>-1811.3183700000009</v>
      </c>
      <c r="DZ280" s="399">
        <v>0</v>
      </c>
      <c r="EA280" s="399">
        <v>0</v>
      </c>
      <c r="EB280" s="399">
        <v>0</v>
      </c>
      <c r="EC280" s="399">
        <v>-1795.2957494954162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218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2361</v>
      </c>
      <c r="C281" s="399" t="s">
        <v>2334</v>
      </c>
      <c r="D281" s="399" t="s">
        <v>533</v>
      </c>
      <c r="E281" s="399" t="s">
        <v>894</v>
      </c>
      <c r="F281" s="399" t="s">
        <v>1239</v>
      </c>
      <c r="G281" s="399" t="s">
        <v>1239</v>
      </c>
      <c r="H281" s="399" t="s">
        <v>1239</v>
      </c>
      <c r="I281" s="399" t="s">
        <v>893</v>
      </c>
      <c r="J281" s="399" t="s">
        <v>2329</v>
      </c>
      <c r="K281" s="789">
        <v>44593</v>
      </c>
      <c r="L281" s="399">
        <v>0</v>
      </c>
      <c r="M281" s="399">
        <v>0</v>
      </c>
      <c r="N281" s="399">
        <v>2.504</v>
      </c>
      <c r="O281" s="399">
        <v>2.4038400000000002</v>
      </c>
      <c r="P281" s="399">
        <v>2.504</v>
      </c>
      <c r="Q281" s="399">
        <v>2.4038400000000002</v>
      </c>
      <c r="R281" s="399"/>
      <c r="S281" s="399">
        <v>2741.05</v>
      </c>
      <c r="T281" s="399">
        <v>141.32</v>
      </c>
      <c r="U281" s="399"/>
      <c r="V281" s="399">
        <v>7217.4544800000003</v>
      </c>
      <c r="W281" s="399">
        <v>7217.4544800000003</v>
      </c>
      <c r="X281" s="399">
        <v>5167.9555199999995</v>
      </c>
      <c r="Y281" s="399">
        <v>0</v>
      </c>
      <c r="Z281" s="399">
        <v>132.18372353129197</v>
      </c>
      <c r="AA281" s="399">
        <v>0</v>
      </c>
      <c r="AB281" s="399">
        <v>0</v>
      </c>
      <c r="AC281" s="399">
        <v>0</v>
      </c>
      <c r="AD281" s="399">
        <v>1987.077943736547</v>
      </c>
      <c r="AE281" s="399">
        <v>4702.0330761514033</v>
      </c>
      <c r="AF281" s="399">
        <v>353.86260080009299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23.492508841826591</v>
      </c>
      <c r="AM281" s="399"/>
      <c r="AN281" s="399">
        <v>1.5042590007328205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17.31004789584691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>
        <v>206.71822079999959</v>
      </c>
      <c r="BS281" s="399"/>
      <c r="BT281" s="399"/>
      <c r="BU281" s="399"/>
      <c r="BV281" s="399">
        <v>371.17264869593993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4953.311999999999</v>
      </c>
      <c r="CJ281" s="399">
        <v>-1975.4743008000032</v>
      </c>
      <c r="CK281" s="399"/>
      <c r="CL281" s="399"/>
      <c r="CM281" s="399"/>
      <c r="CN281" s="399"/>
      <c r="CO281" s="399">
        <v>-2049.4989600000008</v>
      </c>
      <c r="CP281" s="399">
        <v>0</v>
      </c>
      <c r="CQ281" s="399">
        <v>29</v>
      </c>
      <c r="CR281" s="399">
        <v>-18.146111875784754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-9.4638623852758883</v>
      </c>
      <c r="DA281" s="399">
        <v>0</v>
      </c>
      <c r="DB281" s="399">
        <v>0</v>
      </c>
      <c r="DC281" s="399">
        <v>0</v>
      </c>
      <c r="DD281" s="399">
        <v>0</v>
      </c>
      <c r="DE281" s="399">
        <v>0</v>
      </c>
      <c r="DF281" s="399">
        <v>0</v>
      </c>
      <c r="DG281" s="399">
        <v>0</v>
      </c>
      <c r="DH281" s="399">
        <v>0</v>
      </c>
      <c r="DI281" s="399">
        <v>-7.4477149530504789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-1.1738784372807025</v>
      </c>
      <c r="DP281" s="399">
        <v>-6.065610017709E-2</v>
      </c>
      <c r="DQ281" s="399">
        <v>0</v>
      </c>
      <c r="DR281" s="399">
        <v>0</v>
      </c>
      <c r="DS281" s="399"/>
      <c r="DT281" s="399"/>
      <c r="DU281" s="399"/>
      <c r="DV281" s="399">
        <v>4702.0330761514033</v>
      </c>
      <c r="DW281" s="399">
        <v>0</v>
      </c>
      <c r="DX281" s="399">
        <v>0</v>
      </c>
      <c r="DY281" s="399">
        <v>-2049.4989600000008</v>
      </c>
      <c r="DZ281" s="399">
        <v>0</v>
      </c>
      <c r="EA281" s="399">
        <v>0</v>
      </c>
      <c r="EB281" s="399">
        <v>0</v>
      </c>
      <c r="EC281" s="399">
        <v>-2031.3694336812118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218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956</v>
      </c>
      <c r="C282" s="399" t="s">
        <v>2334</v>
      </c>
      <c r="D282" s="399" t="s">
        <v>533</v>
      </c>
      <c r="E282" s="399" t="s">
        <v>894</v>
      </c>
      <c r="F282" s="399" t="s">
        <v>1239</v>
      </c>
      <c r="G282" s="399" t="s">
        <v>1239</v>
      </c>
      <c r="H282" s="399" t="s">
        <v>1239</v>
      </c>
      <c r="I282" s="399" t="s">
        <v>2326</v>
      </c>
      <c r="J282" s="399" t="s">
        <v>2329</v>
      </c>
      <c r="K282" s="789">
        <v>44593</v>
      </c>
      <c r="L282" s="399">
        <v>0</v>
      </c>
      <c r="M282" s="399">
        <v>0</v>
      </c>
      <c r="N282" s="399">
        <v>20.693000000000001</v>
      </c>
      <c r="O282" s="399">
        <v>19.865279999999998</v>
      </c>
      <c r="P282" s="399">
        <v>20.693000000000001</v>
      </c>
      <c r="Q282" s="399">
        <v>19.865279999999998</v>
      </c>
      <c r="R282" s="399"/>
      <c r="S282" s="399">
        <v>69.680000000000007</v>
      </c>
      <c r="T282" s="399">
        <v>141.32</v>
      </c>
      <c r="U282" s="399"/>
      <c r="V282" s="399">
        <v>4366.223</v>
      </c>
      <c r="W282" s="399">
        <v>4366.223</v>
      </c>
      <c r="X282" s="399">
        <v>4294.6252199999999</v>
      </c>
      <c r="Y282" s="399">
        <v>0</v>
      </c>
      <c r="Z282" s="399">
        <v>1092.3633350770865</v>
      </c>
      <c r="AA282" s="399">
        <v>0</v>
      </c>
      <c r="AB282" s="399">
        <v>0</v>
      </c>
      <c r="AC282" s="399">
        <v>0</v>
      </c>
      <c r="AD282" s="399">
        <v>0</v>
      </c>
      <c r="AE282" s="399">
        <v>0</v>
      </c>
      <c r="AF282" s="399">
        <v>2924.3126191518868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194.1415676772834</v>
      </c>
      <c r="AM282" s="399"/>
      <c r="AN282" s="399">
        <v>12.431162740480932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143.04984868560709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>
        <v>171.78500880000058</v>
      </c>
      <c r="BS282" s="399"/>
      <c r="BT282" s="399"/>
      <c r="BU282" s="399"/>
      <c r="BV282" s="399">
        <v>3067.362467837494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4123.8198000000002</v>
      </c>
      <c r="CJ282" s="399">
        <v>-67.784279999999853</v>
      </c>
      <c r="CK282" s="399"/>
      <c r="CL282" s="399"/>
      <c r="CM282" s="399"/>
      <c r="CN282" s="399"/>
      <c r="CO282" s="399">
        <v>-71.597780000000171</v>
      </c>
      <c r="CP282" s="399">
        <v>0</v>
      </c>
      <c r="CQ282" s="399">
        <v>29</v>
      </c>
      <c r="CR282" s="399">
        <v>-71.749915617846455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0</v>
      </c>
      <c r="DA282" s="399">
        <v>0</v>
      </c>
      <c r="DB282" s="399">
        <v>0</v>
      </c>
      <c r="DC282" s="399">
        <v>0</v>
      </c>
      <c r="DD282" s="399">
        <v>0</v>
      </c>
      <c r="DE282" s="399">
        <v>0</v>
      </c>
      <c r="DF282" s="399">
        <v>0</v>
      </c>
      <c r="DG282" s="399">
        <v>0</v>
      </c>
      <c r="DH282" s="399">
        <v>0</v>
      </c>
      <c r="DI282" s="399">
        <v>-61.547749809693869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-9.7009051528152952</v>
      </c>
      <c r="DP282" s="399">
        <v>-0.50126065533726916</v>
      </c>
      <c r="DQ282" s="399">
        <v>0</v>
      </c>
      <c r="DR282" s="399">
        <v>0</v>
      </c>
      <c r="DS282" s="399"/>
      <c r="DT282" s="399"/>
      <c r="DU282" s="399"/>
      <c r="DV282" s="399">
        <v>0</v>
      </c>
      <c r="DW282" s="399">
        <v>0</v>
      </c>
      <c r="DX282" s="399">
        <v>0</v>
      </c>
      <c r="DY282" s="399">
        <v>-71.597780000000057</v>
      </c>
      <c r="DZ282" s="399">
        <v>0</v>
      </c>
      <c r="EA282" s="399">
        <v>0</v>
      </c>
      <c r="EB282" s="399">
        <v>0</v>
      </c>
      <c r="EC282" s="399">
        <v>0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218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2361</v>
      </c>
      <c r="C283" s="399" t="s">
        <v>2334</v>
      </c>
      <c r="D283" s="399" t="s">
        <v>533</v>
      </c>
      <c r="E283" s="399" t="s">
        <v>894</v>
      </c>
      <c r="F283" s="399" t="s">
        <v>1239</v>
      </c>
      <c r="G283" s="399" t="s">
        <v>1239</v>
      </c>
      <c r="H283" s="399" t="s">
        <v>1239</v>
      </c>
      <c r="I283" s="399" t="s">
        <v>2326</v>
      </c>
      <c r="J283" s="399" t="s">
        <v>2329</v>
      </c>
      <c r="K283" s="789">
        <v>44593</v>
      </c>
      <c r="L283" s="399">
        <v>0</v>
      </c>
      <c r="M283" s="399">
        <v>0</v>
      </c>
      <c r="N283" s="399">
        <v>32.728000000000002</v>
      </c>
      <c r="O283" s="399">
        <v>31.418880000000001</v>
      </c>
      <c r="P283" s="399">
        <v>32.728000000000002</v>
      </c>
      <c r="Q283" s="399">
        <v>31.418880000000001</v>
      </c>
      <c r="R283" s="399"/>
      <c r="S283" s="399">
        <v>69.680000000000007</v>
      </c>
      <c r="T283" s="399">
        <v>141.32</v>
      </c>
      <c r="U283" s="399"/>
      <c r="V283" s="399">
        <v>6905.6080000000002</v>
      </c>
      <c r="W283" s="399">
        <v>6905.6080000000002</v>
      </c>
      <c r="X283" s="399">
        <v>6792.3691200000003</v>
      </c>
      <c r="Y283" s="399">
        <v>0</v>
      </c>
      <c r="Z283" s="399">
        <v>1727.679274653404</v>
      </c>
      <c r="AA283" s="399">
        <v>0</v>
      </c>
      <c r="AB283" s="399">
        <v>0</v>
      </c>
      <c r="AC283" s="399">
        <v>0</v>
      </c>
      <c r="AD283" s="399">
        <v>0</v>
      </c>
      <c r="AE283" s="399">
        <v>0</v>
      </c>
      <c r="AF283" s="399">
        <v>4625.0859420868383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307.05384559716481</v>
      </c>
      <c r="AM283" s="399"/>
      <c r="AN283" s="399">
        <v>19.661097674114917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226.24730332878505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/>
      <c r="BO283" s="399"/>
      <c r="BP283" s="399"/>
      <c r="BQ283" s="399"/>
      <c r="BR283" s="399">
        <v>271.69476480000003</v>
      </c>
      <c r="BS283" s="399"/>
      <c r="BT283" s="399"/>
      <c r="BU283" s="399"/>
      <c r="BV283" s="399">
        <v>4851.3332454156234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6520.9068000000007</v>
      </c>
      <c r="CJ283" s="399">
        <v>-108.50688000000082</v>
      </c>
      <c r="CK283" s="399"/>
      <c r="CL283" s="399"/>
      <c r="CM283" s="399"/>
      <c r="CN283" s="399"/>
      <c r="CO283" s="399">
        <v>-113.23888000000026</v>
      </c>
      <c r="CP283" s="399">
        <v>0</v>
      </c>
      <c r="CQ283" s="399">
        <v>29</v>
      </c>
      <c r="CR283" s="399">
        <v>-113.47949733440691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0</v>
      </c>
      <c r="DA283" s="399">
        <v>0</v>
      </c>
      <c r="DB283" s="399">
        <v>0</v>
      </c>
      <c r="DC283" s="399">
        <v>0</v>
      </c>
      <c r="DD283" s="399">
        <v>0</v>
      </c>
      <c r="DE283" s="399">
        <v>0</v>
      </c>
      <c r="DF283" s="399">
        <v>0</v>
      </c>
      <c r="DG283" s="399">
        <v>0</v>
      </c>
      <c r="DH283" s="399">
        <v>0</v>
      </c>
      <c r="DI283" s="399">
        <v>-97.343775951851285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-15.342928712189632</v>
      </c>
      <c r="DP283" s="399">
        <v>-0.79279267036573486</v>
      </c>
      <c r="DQ283" s="399">
        <v>0</v>
      </c>
      <c r="DR283" s="399">
        <v>0</v>
      </c>
      <c r="DS283" s="399"/>
      <c r="DT283" s="399"/>
      <c r="DU283" s="399"/>
      <c r="DV283" s="399">
        <v>0</v>
      </c>
      <c r="DW283" s="399">
        <v>0</v>
      </c>
      <c r="DX283" s="399">
        <v>0</v>
      </c>
      <c r="DY283" s="399">
        <v>-113.23888000000034</v>
      </c>
      <c r="DZ283" s="399">
        <v>0</v>
      </c>
      <c r="EA283" s="399">
        <v>0</v>
      </c>
      <c r="EB283" s="399">
        <v>0</v>
      </c>
      <c r="EC283" s="399">
        <v>0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218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956</v>
      </c>
      <c r="C284" s="399" t="s">
        <v>2334</v>
      </c>
      <c r="D284" s="399" t="s">
        <v>533</v>
      </c>
      <c r="E284" s="399" t="s">
        <v>894</v>
      </c>
      <c r="F284" s="399" t="s">
        <v>1239</v>
      </c>
      <c r="G284" s="399" t="s">
        <v>1239</v>
      </c>
      <c r="H284" s="399" t="s">
        <v>1239</v>
      </c>
      <c r="I284" s="399" t="s">
        <v>1239</v>
      </c>
      <c r="J284" s="399" t="s">
        <v>2329</v>
      </c>
      <c r="K284" s="789">
        <v>44593</v>
      </c>
      <c r="L284" s="399">
        <v>90</v>
      </c>
      <c r="M284" s="399">
        <v>86.4</v>
      </c>
      <c r="N284" s="399">
        <v>0</v>
      </c>
      <c r="O284" s="399">
        <v>0</v>
      </c>
      <c r="P284" s="399">
        <v>0</v>
      </c>
      <c r="Q284" s="399">
        <v>0</v>
      </c>
      <c r="R284" s="399">
        <v>35.15</v>
      </c>
      <c r="S284" s="399"/>
      <c r="T284" s="399"/>
      <c r="U284" s="399">
        <v>3163.5</v>
      </c>
      <c r="V284" s="399"/>
      <c r="W284" s="399">
        <v>3163.5</v>
      </c>
      <c r="X284" s="399">
        <v>2309.4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1199.8235963272409</v>
      </c>
      <c r="AE284" s="399">
        <v>1963.6179499154971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0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0</v>
      </c>
      <c r="BH284" s="399">
        <v>0</v>
      </c>
      <c r="BI284" s="399">
        <v>97.3</v>
      </c>
      <c r="BJ284" s="399">
        <v>449.12</v>
      </c>
      <c r="BK284" s="399">
        <v>4910.03</v>
      </c>
      <c r="BL284" s="399">
        <v>1</v>
      </c>
      <c r="BM284" s="399"/>
      <c r="BN284" s="399"/>
      <c r="BO284" s="399"/>
      <c r="BP284" s="399"/>
      <c r="BQ284" s="399"/>
      <c r="BR284" s="399">
        <v>92.375999999999848</v>
      </c>
      <c r="BS284" s="399"/>
      <c r="BT284" s="399"/>
      <c r="BU284" s="399"/>
      <c r="BV284" s="399">
        <v>0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2217.0240000000003</v>
      </c>
      <c r="CJ284" s="399">
        <v>-819.96600000000035</v>
      </c>
      <c r="CK284" s="399"/>
      <c r="CL284" s="399"/>
      <c r="CM284" s="399"/>
      <c r="CN284" s="399"/>
      <c r="CO284" s="399">
        <v>-854.09999999999991</v>
      </c>
      <c r="CP284" s="399">
        <v>0</v>
      </c>
      <c r="CQ284" s="399">
        <v>29</v>
      </c>
      <c r="CR284" s="399">
        <v>-5.7144036236848024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-5.7144036236848024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0</v>
      </c>
      <c r="DP284" s="399">
        <v>0</v>
      </c>
      <c r="DQ284" s="399">
        <v>0</v>
      </c>
      <c r="DR284" s="399">
        <v>0</v>
      </c>
      <c r="DS284" s="399"/>
      <c r="DT284" s="399"/>
      <c r="DU284" s="399">
        <v>1963.6179499154971</v>
      </c>
      <c r="DV284" s="399"/>
      <c r="DW284" s="399">
        <v>0</v>
      </c>
      <c r="DX284" s="399">
        <v>0</v>
      </c>
      <c r="DY284" s="399">
        <v>-854.09999999999991</v>
      </c>
      <c r="DZ284" s="399"/>
      <c r="EA284" s="399">
        <v>0</v>
      </c>
      <c r="EB284" s="399"/>
      <c r="EC284" s="399">
        <v>-848.32101737381709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218</v>
      </c>
      <c r="EW284" s="399"/>
      <c r="EX284" s="399"/>
      <c r="EY284" s="399"/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2361</v>
      </c>
      <c r="C285" s="399" t="s">
        <v>2334</v>
      </c>
      <c r="D285" s="399" t="s">
        <v>533</v>
      </c>
      <c r="E285" s="399" t="s">
        <v>894</v>
      </c>
      <c r="F285" s="399" t="s">
        <v>1239</v>
      </c>
      <c r="G285" s="399" t="s">
        <v>1239</v>
      </c>
      <c r="H285" s="399" t="s">
        <v>1239</v>
      </c>
      <c r="I285" s="399" t="s">
        <v>1239</v>
      </c>
      <c r="J285" s="399" t="s">
        <v>2329</v>
      </c>
      <c r="K285" s="789">
        <v>44593</v>
      </c>
      <c r="L285" s="399">
        <v>269</v>
      </c>
      <c r="M285" s="399">
        <v>258.24</v>
      </c>
      <c r="N285" s="399">
        <v>0</v>
      </c>
      <c r="O285" s="399">
        <v>0</v>
      </c>
      <c r="P285" s="399">
        <v>0</v>
      </c>
      <c r="Q285" s="399">
        <v>0</v>
      </c>
      <c r="R285" s="399">
        <v>35.15</v>
      </c>
      <c r="S285" s="399"/>
      <c r="T285" s="399"/>
      <c r="U285" s="399">
        <v>9455.35</v>
      </c>
      <c r="V285" s="399"/>
      <c r="W285" s="399">
        <v>9455.35</v>
      </c>
      <c r="X285" s="399">
        <v>6902.54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3586.1394156891979</v>
      </c>
      <c r="AE285" s="399">
        <v>5869.0358725252081</v>
      </c>
      <c r="AF285" s="399"/>
      <c r="AG285" s="399"/>
      <c r="AH285" s="399"/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0</v>
      </c>
      <c r="AO285" s="399">
        <v>0</v>
      </c>
      <c r="AP285" s="399">
        <v>0</v>
      </c>
      <c r="AQ285" s="399">
        <v>0</v>
      </c>
      <c r="AR285" s="399">
        <v>0</v>
      </c>
      <c r="AS285" s="399"/>
      <c r="AT285" s="399"/>
      <c r="AU285" s="399">
        <v>0</v>
      </c>
      <c r="AV285" s="399">
        <v>0</v>
      </c>
      <c r="AW285" s="399">
        <v>0</v>
      </c>
      <c r="AX285" s="399"/>
      <c r="AY285" s="399"/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/>
      <c r="BG285" s="399">
        <v>0</v>
      </c>
      <c r="BH285" s="399">
        <v>0</v>
      </c>
      <c r="BI285" s="399">
        <v>178.99</v>
      </c>
      <c r="BJ285" s="399">
        <v>826.16</v>
      </c>
      <c r="BK285" s="399">
        <v>10555.56</v>
      </c>
      <c r="BL285" s="399">
        <v>2</v>
      </c>
      <c r="BM285" s="399"/>
      <c r="BN285" s="399"/>
      <c r="BO285" s="399"/>
      <c r="BP285" s="399"/>
      <c r="BQ285" s="399"/>
      <c r="BR285" s="399">
        <v>276.10159999999979</v>
      </c>
      <c r="BS285" s="399"/>
      <c r="BT285" s="399"/>
      <c r="BU285" s="399"/>
      <c r="BV285" s="399">
        <v>0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6626.4384</v>
      </c>
      <c r="CJ285" s="399">
        <v>-2450.7276000000011</v>
      </c>
      <c r="CK285" s="399"/>
      <c r="CL285" s="399"/>
      <c r="CM285" s="399"/>
      <c r="CN285" s="399"/>
      <c r="CO285" s="399">
        <v>-2552.8099999999995</v>
      </c>
      <c r="CP285" s="399">
        <v>0</v>
      </c>
      <c r="CQ285" s="399">
        <v>29</v>
      </c>
      <c r="CR285" s="399">
        <v>-17.079717497458205</v>
      </c>
      <c r="CS285" s="399">
        <v>0</v>
      </c>
      <c r="CT285" s="399">
        <v>0</v>
      </c>
      <c r="CU285" s="399">
        <v>0</v>
      </c>
      <c r="CV285" s="399">
        <v>0</v>
      </c>
      <c r="CW285" s="399"/>
      <c r="CX285" s="399"/>
      <c r="CY285" s="399"/>
      <c r="CZ285" s="399">
        <v>-17.079717497458205</v>
      </c>
      <c r="DA285" s="399">
        <v>0</v>
      </c>
      <c r="DB285" s="399">
        <v>0</v>
      </c>
      <c r="DC285" s="399"/>
      <c r="DD285" s="399"/>
      <c r="DE285" s="399">
        <v>0</v>
      </c>
      <c r="DF285" s="399">
        <v>0</v>
      </c>
      <c r="DG285" s="399">
        <v>0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/>
      <c r="DN285" s="399">
        <v>0</v>
      </c>
      <c r="DO285" s="399">
        <v>0</v>
      </c>
      <c r="DP285" s="399">
        <v>0</v>
      </c>
      <c r="DQ285" s="399">
        <v>0</v>
      </c>
      <c r="DR285" s="399">
        <v>0</v>
      </c>
      <c r="DS285" s="399"/>
      <c r="DT285" s="399"/>
      <c r="DU285" s="399">
        <v>5869.0358725252081</v>
      </c>
      <c r="DV285" s="399"/>
      <c r="DW285" s="399">
        <v>0</v>
      </c>
      <c r="DX285" s="399">
        <v>0</v>
      </c>
      <c r="DY285" s="399">
        <v>-2552.8100000000004</v>
      </c>
      <c r="DZ285" s="399"/>
      <c r="EA285" s="399">
        <v>0</v>
      </c>
      <c r="EB285" s="399"/>
      <c r="EC285" s="399">
        <v>-2535.5372630395204</v>
      </c>
      <c r="ED285" s="399"/>
      <c r="EE285" s="399">
        <v>0</v>
      </c>
      <c r="EF285" s="399">
        <v>0</v>
      </c>
      <c r="EG285" s="399"/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/>
      <c r="EN285" s="399"/>
      <c r="EO285" s="399">
        <v>0</v>
      </c>
      <c r="EP285" s="399">
        <v>0</v>
      </c>
      <c r="EQ285" s="399"/>
      <c r="ER285" s="399">
        <v>0</v>
      </c>
      <c r="ES285" s="399"/>
      <c r="ET285" s="399">
        <v>0</v>
      </c>
      <c r="EU285" s="399"/>
      <c r="EV285" s="399">
        <v>218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956</v>
      </c>
      <c r="C286" s="399" t="s">
        <v>2328</v>
      </c>
      <c r="D286" s="399" t="s">
        <v>1826</v>
      </c>
      <c r="E286" s="399" t="s">
        <v>2336</v>
      </c>
      <c r="F286" s="399" t="s">
        <v>1239</v>
      </c>
      <c r="G286" s="399" t="s">
        <v>1239</v>
      </c>
      <c r="H286" s="399" t="s">
        <v>1239</v>
      </c>
      <c r="I286" s="399" t="s">
        <v>1239</v>
      </c>
      <c r="J286" s="399" t="s">
        <v>2329</v>
      </c>
      <c r="K286" s="789">
        <v>44593</v>
      </c>
      <c r="L286" s="399">
        <v>0</v>
      </c>
      <c r="M286" s="399">
        <v>0</v>
      </c>
      <c r="N286" s="399">
        <v>155.26900000000001</v>
      </c>
      <c r="O286" s="399">
        <v>155.26900000000001</v>
      </c>
      <c r="P286" s="399">
        <v>155.26900000000001</v>
      </c>
      <c r="Q286" s="399">
        <v>155.26900000000001</v>
      </c>
      <c r="R286" s="399"/>
      <c r="S286" s="399">
        <v>521.86</v>
      </c>
      <c r="T286" s="399">
        <v>141.32</v>
      </c>
      <c r="U286" s="399"/>
      <c r="V286" s="399">
        <v>102971.29542000001</v>
      </c>
      <c r="W286" s="399">
        <v>102971.29542000001</v>
      </c>
      <c r="X286" s="399">
        <v>80480.58077</v>
      </c>
      <c r="Y286" s="399">
        <v>0</v>
      </c>
      <c r="Z286" s="399">
        <v>9421.2637109269635</v>
      </c>
      <c r="AA286" s="399">
        <v>0</v>
      </c>
      <c r="AB286" s="399">
        <v>0</v>
      </c>
      <c r="AC286" s="399">
        <v>0</v>
      </c>
      <c r="AD286" s="399">
        <v>16699.771317402425</v>
      </c>
      <c r="AE286" s="399">
        <v>50454.784966813015</v>
      </c>
      <c r="AF286" s="399">
        <v>21942.448947136436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1456.7325700325771</v>
      </c>
      <c r="AM286" s="399"/>
      <c r="AN286" s="399">
        <v>215.33740307659622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2780.0756092694469</v>
      </c>
      <c r="BH286" s="399">
        <v>0</v>
      </c>
      <c r="BI286" s="399">
        <v>690.91</v>
      </c>
      <c r="BJ286" s="399">
        <v>3192.33</v>
      </c>
      <c r="BK286" s="399">
        <v>30655.119999999999</v>
      </c>
      <c r="BL286" s="399">
        <v>158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24722.524556405882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80481.099100000007</v>
      </c>
      <c r="CJ286" s="399">
        <v>-22490.226319999987</v>
      </c>
      <c r="CK286" s="399"/>
      <c r="CL286" s="399"/>
      <c r="CM286" s="399"/>
      <c r="CN286" s="399"/>
      <c r="CO286" s="399">
        <v>-22490.714650000005</v>
      </c>
      <c r="CP286" s="399">
        <v>0</v>
      </c>
      <c r="CQ286" s="399">
        <v>29</v>
      </c>
      <c r="CR286" s="399">
        <v>-691.83788403510698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-79.536053485746379</v>
      </c>
      <c r="DA286" s="399">
        <v>0</v>
      </c>
      <c r="DB286" s="399">
        <v>0</v>
      </c>
      <c r="DC286" s="399">
        <v>0</v>
      </c>
      <c r="DD286" s="399">
        <v>0</v>
      </c>
      <c r="DE286" s="399">
        <v>0</v>
      </c>
      <c r="DF286" s="399">
        <v>0</v>
      </c>
      <c r="DG286" s="399">
        <v>0</v>
      </c>
      <c r="DH286" s="399">
        <v>0</v>
      </c>
      <c r="DI286" s="399">
        <v>-530.82849190497836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-72.790307938553269</v>
      </c>
      <c r="DP286" s="399">
        <v>-8.6830307058317828</v>
      </c>
      <c r="DQ286" s="399">
        <v>0</v>
      </c>
      <c r="DR286" s="399">
        <v>0</v>
      </c>
      <c r="DS286" s="399"/>
      <c r="DT286" s="399"/>
      <c r="DU286" s="399"/>
      <c r="DV286" s="399">
        <v>50454.784966813015</v>
      </c>
      <c r="DW286" s="399">
        <v>0</v>
      </c>
      <c r="DX286" s="399">
        <v>0</v>
      </c>
      <c r="DY286" s="399">
        <v>-22490.714650000009</v>
      </c>
      <c r="DZ286" s="399">
        <v>0</v>
      </c>
      <c r="EA286" s="399">
        <v>0</v>
      </c>
      <c r="EB286" s="399">
        <v>0</v>
      </c>
      <c r="EC286" s="399">
        <v>-21797.445127381245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218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956</v>
      </c>
      <c r="C287" s="399" t="s">
        <v>2328</v>
      </c>
      <c r="D287" s="399" t="s">
        <v>2337</v>
      </c>
      <c r="E287" s="399" t="s">
        <v>2338</v>
      </c>
      <c r="F287" s="399" t="s">
        <v>2339</v>
      </c>
      <c r="G287" s="399" t="s">
        <v>1239</v>
      </c>
      <c r="H287" s="399" t="s">
        <v>1239</v>
      </c>
      <c r="I287" s="399" t="s">
        <v>1239</v>
      </c>
      <c r="J287" s="399" t="s">
        <v>2329</v>
      </c>
      <c r="K287" s="789">
        <v>44593</v>
      </c>
      <c r="L287" s="399">
        <v>0</v>
      </c>
      <c r="M287" s="399">
        <v>0</v>
      </c>
      <c r="N287" s="399">
        <v>71.025000000000006</v>
      </c>
      <c r="O287" s="399">
        <v>71.025000000000006</v>
      </c>
      <c r="P287" s="399">
        <v>71.025000000000006</v>
      </c>
      <c r="Q287" s="399">
        <v>71.025000000000006</v>
      </c>
      <c r="R287" s="399"/>
      <c r="S287" s="399">
        <v>287.02</v>
      </c>
      <c r="T287" s="399">
        <v>77.73</v>
      </c>
      <c r="U287" s="399"/>
      <c r="V287" s="399">
        <v>25906.368750000001</v>
      </c>
      <c r="W287" s="399">
        <v>25906.368750000001</v>
      </c>
      <c r="X287" s="399">
        <v>20248.517250000004</v>
      </c>
      <c r="Y287" s="399">
        <v>0</v>
      </c>
      <c r="Z287" s="399">
        <v>2370.2728187063913</v>
      </c>
      <c r="AA287" s="399">
        <v>0</v>
      </c>
      <c r="AB287" s="399">
        <v>0</v>
      </c>
      <c r="AC287" s="399">
        <v>0</v>
      </c>
      <c r="AD287" s="399">
        <v>4201.4548415986528</v>
      </c>
      <c r="AE287" s="399">
        <v>12693.796612635762</v>
      </c>
      <c r="AF287" s="399">
        <v>5520.4473530370014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366.49580362216631</v>
      </c>
      <c r="AM287" s="399"/>
      <c r="AN287" s="399">
        <v>54.176213406626012</v>
      </c>
      <c r="AO287" s="399">
        <v>0</v>
      </c>
      <c r="AP287" s="399">
        <v>0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699.43245967707128</v>
      </c>
      <c r="BH287" s="399">
        <v>0</v>
      </c>
      <c r="BI287" s="399">
        <v>204.6</v>
      </c>
      <c r="BJ287" s="399">
        <v>944.5</v>
      </c>
      <c r="BK287" s="399">
        <v>10494.33</v>
      </c>
      <c r="BL287" s="399">
        <v>7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6219.8798127140726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20249.9427</v>
      </c>
      <c r="CJ287" s="399">
        <v>-5656.456049999997</v>
      </c>
      <c r="CK287" s="399"/>
      <c r="CL287" s="399"/>
      <c r="CM287" s="399"/>
      <c r="CN287" s="399"/>
      <c r="CO287" s="399">
        <v>-5657.8514999999979</v>
      </c>
      <c r="CP287" s="399">
        <v>0</v>
      </c>
      <c r="CQ287" s="399">
        <v>29</v>
      </c>
      <c r="CR287" s="399">
        <v>-174.05781026785007</v>
      </c>
      <c r="CS287" s="399">
        <v>0</v>
      </c>
      <c r="CT287" s="399">
        <v>0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-20.010282215742336</v>
      </c>
      <c r="DA287" s="399">
        <v>0</v>
      </c>
      <c r="DB287" s="399">
        <v>0</v>
      </c>
      <c r="DC287" s="399">
        <v>0</v>
      </c>
      <c r="DD287" s="399">
        <v>0</v>
      </c>
      <c r="DE287" s="399">
        <v>0</v>
      </c>
      <c r="DF287" s="399">
        <v>0</v>
      </c>
      <c r="DG287" s="399">
        <v>0</v>
      </c>
      <c r="DH287" s="399">
        <v>0</v>
      </c>
      <c r="DI287" s="399">
        <v>-133.54984897598752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-18.313136503324813</v>
      </c>
      <c r="DP287" s="399">
        <v>-2.1845425727928998</v>
      </c>
      <c r="DQ287" s="399">
        <v>0</v>
      </c>
      <c r="DR287" s="399">
        <v>0</v>
      </c>
      <c r="DS287" s="399"/>
      <c r="DT287" s="399"/>
      <c r="DU287" s="399"/>
      <c r="DV287" s="399">
        <v>12693.796612635762</v>
      </c>
      <c r="DW287" s="399">
        <v>0</v>
      </c>
      <c r="DX287" s="399">
        <v>0</v>
      </c>
      <c r="DY287" s="399">
        <v>-5657.851499999997</v>
      </c>
      <c r="DZ287" s="399">
        <v>0</v>
      </c>
      <c r="EA287" s="399">
        <v>0</v>
      </c>
      <c r="EB287" s="399">
        <v>0</v>
      </c>
      <c r="EC287" s="399">
        <v>-5483.9661947635568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0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218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956</v>
      </c>
      <c r="C288" s="399" t="s">
        <v>2328</v>
      </c>
      <c r="D288" s="399" t="s">
        <v>1826</v>
      </c>
      <c r="E288" s="399" t="s">
        <v>921</v>
      </c>
      <c r="F288" s="399" t="s">
        <v>2362</v>
      </c>
      <c r="G288" s="399" t="s">
        <v>1239</v>
      </c>
      <c r="H288" s="399" t="s">
        <v>1239</v>
      </c>
      <c r="I288" s="399" t="s">
        <v>1239</v>
      </c>
      <c r="J288" s="399" t="s">
        <v>2329</v>
      </c>
      <c r="K288" s="789">
        <v>44593</v>
      </c>
      <c r="L288" s="399">
        <v>0</v>
      </c>
      <c r="M288" s="399">
        <v>0</v>
      </c>
      <c r="N288" s="399">
        <v>39.616999999999997</v>
      </c>
      <c r="O288" s="399">
        <v>37.239980000000003</v>
      </c>
      <c r="P288" s="399">
        <v>39.616999999999997</v>
      </c>
      <c r="Q288" s="399">
        <v>37.239980000000003</v>
      </c>
      <c r="R288" s="399"/>
      <c r="S288" s="399">
        <v>521.86</v>
      </c>
      <c r="T288" s="399">
        <v>141.32</v>
      </c>
      <c r="U288" s="399"/>
      <c r="V288" s="399">
        <v>26273.20206</v>
      </c>
      <c r="W288" s="399">
        <v>26273.20206</v>
      </c>
      <c r="X288" s="399">
        <v>20534.679609999999</v>
      </c>
      <c r="Y288" s="399">
        <v>0</v>
      </c>
      <c r="Z288" s="399">
        <v>2403.842392465936</v>
      </c>
      <c r="AA288" s="399">
        <v>0</v>
      </c>
      <c r="AB288" s="399">
        <v>0</v>
      </c>
      <c r="AC288" s="399">
        <v>0</v>
      </c>
      <c r="AD288" s="399">
        <v>4260.9589826786532</v>
      </c>
      <c r="AE288" s="399">
        <v>12873.575639890971</v>
      </c>
      <c r="AF288" s="399">
        <v>5598.6320510771893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371.68639088923481</v>
      </c>
      <c r="AM288" s="399"/>
      <c r="AN288" s="399">
        <v>54.943497399258781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709.33834450165625</v>
      </c>
      <c r="BH288" s="399">
        <v>0</v>
      </c>
      <c r="BI288" s="399">
        <v>174.28</v>
      </c>
      <c r="BJ288" s="399">
        <v>804.77</v>
      </c>
      <c r="BK288" s="399">
        <v>8942.08</v>
      </c>
      <c r="BL288" s="399">
        <v>19</v>
      </c>
      <c r="BM288" s="399"/>
      <c r="BN288" s="399"/>
      <c r="BO288" s="399"/>
      <c r="BP288" s="399"/>
      <c r="BQ288" s="399">
        <v>1232.0807765999971</v>
      </c>
      <c r="BR288" s="399"/>
      <c r="BS288" s="399"/>
      <c r="BT288" s="399"/>
      <c r="BU288" s="399"/>
      <c r="BV288" s="399">
        <v>6307.9703955788455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19302.609199999999</v>
      </c>
      <c r="CJ288" s="399">
        <v>-5394.2307363999971</v>
      </c>
      <c r="CK288" s="399"/>
      <c r="CL288" s="399"/>
      <c r="CM288" s="399"/>
      <c r="CN288" s="399"/>
      <c r="CO288" s="399">
        <v>-5738.5224500000004</v>
      </c>
      <c r="CP288" s="399">
        <v>0</v>
      </c>
      <c r="CQ288" s="399">
        <v>29</v>
      </c>
      <c r="CR288" s="399">
        <v>-176.52294696184981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-20.293682775987691</v>
      </c>
      <c r="DA288" s="399">
        <v>0</v>
      </c>
      <c r="DB288" s="399">
        <v>0</v>
      </c>
      <c r="DC288" s="399">
        <v>0</v>
      </c>
      <c r="DD288" s="399">
        <v>0</v>
      </c>
      <c r="DE288" s="399">
        <v>0</v>
      </c>
      <c r="DF288" s="399">
        <v>0</v>
      </c>
      <c r="DG288" s="399">
        <v>0</v>
      </c>
      <c r="DH288" s="399">
        <v>0</v>
      </c>
      <c r="DI288" s="399">
        <v>-135.44128167116105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-18.572500818590072</v>
      </c>
      <c r="DP288" s="399">
        <v>-2.2154816961076449</v>
      </c>
      <c r="DQ288" s="399">
        <v>0</v>
      </c>
      <c r="DR288" s="399">
        <v>0</v>
      </c>
      <c r="DS288" s="399"/>
      <c r="DT288" s="399"/>
      <c r="DU288" s="399"/>
      <c r="DV288" s="399">
        <v>12873.575639890971</v>
      </c>
      <c r="DW288" s="399">
        <v>0</v>
      </c>
      <c r="DX288" s="399">
        <v>0</v>
      </c>
      <c r="DY288" s="399">
        <v>-5738.5224500000022</v>
      </c>
      <c r="DZ288" s="399">
        <v>0</v>
      </c>
      <c r="EA288" s="399">
        <v>0</v>
      </c>
      <c r="EB288" s="399">
        <v>0</v>
      </c>
      <c r="EC288" s="399">
        <v>-5561.634219396421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218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956</v>
      </c>
      <c r="C289" s="399" t="s">
        <v>2398</v>
      </c>
      <c r="D289" s="399" t="s">
        <v>533</v>
      </c>
      <c r="E289" s="399" t="s">
        <v>921</v>
      </c>
      <c r="F289" s="399" t="s">
        <v>2362</v>
      </c>
      <c r="G289" s="399" t="s">
        <v>1239</v>
      </c>
      <c r="H289" s="399" t="s">
        <v>1239</v>
      </c>
      <c r="I289" s="399" t="s">
        <v>893</v>
      </c>
      <c r="J289" s="399" t="s">
        <v>2329</v>
      </c>
      <c r="K289" s="789">
        <v>44593</v>
      </c>
      <c r="L289" s="399">
        <v>473</v>
      </c>
      <c r="M289" s="399">
        <v>444.62</v>
      </c>
      <c r="N289" s="399">
        <v>17.861999999999998</v>
      </c>
      <c r="O289" s="399">
        <v>16.790279999999999</v>
      </c>
      <c r="P289" s="399">
        <v>17.861999999999998</v>
      </c>
      <c r="Q289" s="399">
        <v>16.790279999999999</v>
      </c>
      <c r="R289" s="399">
        <v>111.06</v>
      </c>
      <c r="S289" s="399">
        <v>69.680000000000007</v>
      </c>
      <c r="T289" s="399">
        <v>141.32</v>
      </c>
      <c r="U289" s="399">
        <v>52531.380000000005</v>
      </c>
      <c r="V289" s="399">
        <v>3768.8819999999996</v>
      </c>
      <c r="W289" s="399">
        <v>56300.262000000002</v>
      </c>
      <c r="X289" s="399">
        <v>40208.489480000004</v>
      </c>
      <c r="Y289" s="399">
        <v>0</v>
      </c>
      <c r="Z289" s="399">
        <v>942.91759972681177</v>
      </c>
      <c r="AA289" s="399">
        <v>0</v>
      </c>
      <c r="AB289" s="399">
        <v>0</v>
      </c>
      <c r="AC289" s="399">
        <v>0</v>
      </c>
      <c r="AD289" s="399">
        <v>15601.035621738743</v>
      </c>
      <c r="AE289" s="399">
        <v>36931.487851072554</v>
      </c>
      <c r="AF289" s="399">
        <v>2524.2387282313339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167.58114733734286</v>
      </c>
      <c r="AM289" s="399"/>
      <c r="AN289" s="399">
        <v>10.730460970882442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123.47926338483127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/>
      <c r="BO289" s="399"/>
      <c r="BP289" s="399"/>
      <c r="BQ289" s="399">
        <v>2412.5093687999993</v>
      </c>
      <c r="BR289" s="399"/>
      <c r="BS289" s="399"/>
      <c r="BT289" s="399"/>
      <c r="BU289" s="399"/>
      <c r="BV289" s="399">
        <v>2647.7179916161654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37795.921999999999</v>
      </c>
      <c r="CJ289" s="399">
        <v>-15126.354280000007</v>
      </c>
      <c r="CK289" s="399"/>
      <c r="CL289" s="399"/>
      <c r="CM289" s="399"/>
      <c r="CN289" s="399"/>
      <c r="CO289" s="399">
        <v>-16091.77252</v>
      </c>
      <c r="CP289" s="399">
        <v>0</v>
      </c>
      <c r="CQ289" s="399">
        <v>29</v>
      </c>
      <c r="CR289" s="399">
        <v>-136.23694353775863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-74.303101525192687</v>
      </c>
      <c r="DA289" s="399">
        <v>0</v>
      </c>
      <c r="DB289" s="399">
        <v>0</v>
      </c>
      <c r="DC289" s="399">
        <v>0</v>
      </c>
      <c r="DD289" s="399">
        <v>0</v>
      </c>
      <c r="DE289" s="399">
        <v>0</v>
      </c>
      <c r="DF289" s="399">
        <v>0</v>
      </c>
      <c r="DG289" s="399">
        <v>0</v>
      </c>
      <c r="DH289" s="399">
        <v>0</v>
      </c>
      <c r="DI289" s="399">
        <v>-53.12742990870106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-8.373728692774705</v>
      </c>
      <c r="DP289" s="399">
        <v>-0.43268341108753106</v>
      </c>
      <c r="DQ289" s="399">
        <v>0</v>
      </c>
      <c r="DR289" s="399">
        <v>0</v>
      </c>
      <c r="DS289" s="399"/>
      <c r="DT289" s="399"/>
      <c r="DU289" s="399">
        <v>36931.487851072554</v>
      </c>
      <c r="DV289" s="399">
        <v>0</v>
      </c>
      <c r="DW289" s="399">
        <v>0</v>
      </c>
      <c r="DX289" s="399">
        <v>0</v>
      </c>
      <c r="DY289" s="399">
        <v>-16091.772519999999</v>
      </c>
      <c r="DZ289" s="399">
        <v>0</v>
      </c>
      <c r="EA289" s="399">
        <v>0</v>
      </c>
      <c r="EB289" s="399">
        <v>0</v>
      </c>
      <c r="EC289" s="399">
        <v>-15955.118636137315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218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956</v>
      </c>
      <c r="C290" s="399" t="s">
        <v>2398</v>
      </c>
      <c r="D290" s="399" t="s">
        <v>533</v>
      </c>
      <c r="E290" s="399" t="s">
        <v>921</v>
      </c>
      <c r="F290" s="399" t="s">
        <v>2362</v>
      </c>
      <c r="G290" s="399" t="s">
        <v>1239</v>
      </c>
      <c r="H290" s="399" t="s">
        <v>1239</v>
      </c>
      <c r="I290" s="399" t="s">
        <v>2326</v>
      </c>
      <c r="J290" s="399" t="s">
        <v>2329</v>
      </c>
      <c r="K290" s="789">
        <v>44593</v>
      </c>
      <c r="L290" s="399">
        <v>473</v>
      </c>
      <c r="M290" s="399">
        <v>444.62</v>
      </c>
      <c r="N290" s="399">
        <v>175.04400000000001</v>
      </c>
      <c r="O290" s="399">
        <v>164.54136</v>
      </c>
      <c r="P290" s="399">
        <v>175.04400000000001</v>
      </c>
      <c r="Q290" s="399">
        <v>164.54136</v>
      </c>
      <c r="R290" s="399">
        <v>35.15</v>
      </c>
      <c r="S290" s="399">
        <v>69.680000000000007</v>
      </c>
      <c r="T290" s="399">
        <v>141.32</v>
      </c>
      <c r="U290" s="399">
        <v>16625.95</v>
      </c>
      <c r="V290" s="399">
        <v>36934.284</v>
      </c>
      <c r="W290" s="399">
        <v>53560.234000000004</v>
      </c>
      <c r="X290" s="399">
        <v>48465.811759999997</v>
      </c>
      <c r="Y290" s="399">
        <v>0</v>
      </c>
      <c r="Z290" s="399">
        <v>9240.4024368256669</v>
      </c>
      <c r="AA290" s="399">
        <v>0</v>
      </c>
      <c r="AB290" s="399">
        <v>0</v>
      </c>
      <c r="AC290" s="399">
        <v>0</v>
      </c>
      <c r="AD290" s="399">
        <v>6305.7395673642777</v>
      </c>
      <c r="AE290" s="399">
        <v>10319.903225667002</v>
      </c>
      <c r="AF290" s="399">
        <v>24737.030788518961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1642.261468733504</v>
      </c>
      <c r="AM290" s="399"/>
      <c r="AN290" s="399">
        <v>105.15635484196319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1210.0718945210172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>
        <v>2907.9487056000025</v>
      </c>
      <c r="BR290" s="399"/>
      <c r="BS290" s="399"/>
      <c r="BT290" s="399"/>
      <c r="BU290" s="399"/>
      <c r="BV290" s="399">
        <v>25947.102683039979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45557.580799999996</v>
      </c>
      <c r="CJ290" s="399">
        <v>-4789.0691600000064</v>
      </c>
      <c r="CK290" s="399"/>
      <c r="CL290" s="399"/>
      <c r="CM290" s="399"/>
      <c r="CN290" s="399"/>
      <c r="CO290" s="399">
        <v>-5094.4222400000008</v>
      </c>
      <c r="CP290" s="399">
        <v>0</v>
      </c>
      <c r="CQ290" s="399">
        <v>29</v>
      </c>
      <c r="CR290" s="399">
        <v>-636.97153496694227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-30.032365711143939</v>
      </c>
      <c r="DA290" s="399">
        <v>0</v>
      </c>
      <c r="DB290" s="399">
        <v>0</v>
      </c>
      <c r="DC290" s="399">
        <v>0</v>
      </c>
      <c r="DD290" s="399">
        <v>0</v>
      </c>
      <c r="DE290" s="399">
        <v>0</v>
      </c>
      <c r="DF290" s="399">
        <v>0</v>
      </c>
      <c r="DG290" s="399">
        <v>0</v>
      </c>
      <c r="DH290" s="399">
        <v>0</v>
      </c>
      <c r="DI290" s="399">
        <v>-520.63810552786163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-82.060853504538045</v>
      </c>
      <c r="DP290" s="399">
        <v>-4.2402102234019594</v>
      </c>
      <c r="DQ290" s="399">
        <v>0</v>
      </c>
      <c r="DR290" s="399">
        <v>0</v>
      </c>
      <c r="DS290" s="399"/>
      <c r="DT290" s="399"/>
      <c r="DU290" s="399">
        <v>10319.903225667002</v>
      </c>
      <c r="DV290" s="399">
        <v>0</v>
      </c>
      <c r="DW290" s="399">
        <v>0</v>
      </c>
      <c r="DX290" s="399">
        <v>0</v>
      </c>
      <c r="DY290" s="399">
        <v>-5094.4222400000072</v>
      </c>
      <c r="DZ290" s="399">
        <v>0</v>
      </c>
      <c r="EA290" s="399">
        <v>0</v>
      </c>
      <c r="EB290" s="399">
        <v>0</v>
      </c>
      <c r="EC290" s="399">
        <v>-4458.398235753506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218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956</v>
      </c>
      <c r="C291" s="399" t="s">
        <v>2398</v>
      </c>
      <c r="D291" s="399" t="s">
        <v>533</v>
      </c>
      <c r="E291" s="399" t="s">
        <v>921</v>
      </c>
      <c r="F291" s="399" t="s">
        <v>2362</v>
      </c>
      <c r="G291" s="399" t="s">
        <v>1239</v>
      </c>
      <c r="H291" s="399" t="s">
        <v>1239</v>
      </c>
      <c r="I291" s="399" t="s">
        <v>1239</v>
      </c>
      <c r="J291" s="399" t="s">
        <v>2329</v>
      </c>
      <c r="K291" s="789">
        <v>44593</v>
      </c>
      <c r="L291" s="399">
        <v>0</v>
      </c>
      <c r="M291" s="399">
        <v>0</v>
      </c>
      <c r="N291" s="399">
        <v>0</v>
      </c>
      <c r="O291" s="399">
        <v>0</v>
      </c>
      <c r="P291" s="399">
        <v>0</v>
      </c>
      <c r="Q291" s="399">
        <v>0</v>
      </c>
      <c r="R291" s="399"/>
      <c r="S291" s="399"/>
      <c r="T291" s="399"/>
      <c r="U291" s="399"/>
      <c r="V291" s="399"/>
      <c r="W291" s="399"/>
      <c r="X291" s="399"/>
      <c r="Y291" s="399"/>
      <c r="Z291" s="399"/>
      <c r="AA291" s="399">
        <v>0</v>
      </c>
      <c r="AB291" s="399"/>
      <c r="AC291" s="399"/>
      <c r="AD291" s="399"/>
      <c r="AE291" s="399"/>
      <c r="AF291" s="399"/>
      <c r="AG291" s="399"/>
      <c r="AH291" s="399"/>
      <c r="AI291" s="399"/>
      <c r="AJ291" s="399"/>
      <c r="AK291" s="399"/>
      <c r="AL291" s="399"/>
      <c r="AM291" s="399"/>
      <c r="AN291" s="399"/>
      <c r="AO291" s="399"/>
      <c r="AP291" s="399"/>
      <c r="AQ291" s="399"/>
      <c r="AR291" s="399"/>
      <c r="AS291" s="399"/>
      <c r="AT291" s="399"/>
      <c r="AU291" s="399"/>
      <c r="AV291" s="399"/>
      <c r="AW291" s="399"/>
      <c r="AX291" s="399"/>
      <c r="AY291" s="399"/>
      <c r="AZ291" s="399">
        <v>0</v>
      </c>
      <c r="BA291" s="399"/>
      <c r="BB291" s="399"/>
      <c r="BC291" s="399"/>
      <c r="BD291" s="399"/>
      <c r="BE291" s="399"/>
      <c r="BF291" s="399"/>
      <c r="BG291" s="399"/>
      <c r="BH291" s="399"/>
      <c r="BI291" s="399">
        <v>783.01</v>
      </c>
      <c r="BJ291" s="399">
        <v>3613.91</v>
      </c>
      <c r="BK291" s="399">
        <v>35974.019999999997</v>
      </c>
      <c r="BL291" s="399">
        <v>2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/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/>
      <c r="CJ291" s="399">
        <v>-0.03</v>
      </c>
      <c r="CK291" s="399"/>
      <c r="CL291" s="399"/>
      <c r="CM291" s="399"/>
      <c r="CN291" s="399"/>
      <c r="CO291" s="399">
        <v>0</v>
      </c>
      <c r="CP291" s="399">
        <v>0</v>
      </c>
      <c r="CQ291" s="399">
        <v>29</v>
      </c>
      <c r="CR291" s="399"/>
      <c r="CS291" s="399"/>
      <c r="CT291" s="399"/>
      <c r="CU291" s="399"/>
      <c r="CV291" s="399"/>
      <c r="CW291" s="399"/>
      <c r="CX291" s="399"/>
      <c r="CY291" s="399"/>
      <c r="CZ291" s="399"/>
      <c r="DA291" s="399"/>
      <c r="DB291" s="399"/>
      <c r="DC291" s="399"/>
      <c r="DD291" s="399"/>
      <c r="DE291" s="399"/>
      <c r="DF291" s="399"/>
      <c r="DG291" s="399"/>
      <c r="DH291" s="399"/>
      <c r="DI291" s="399"/>
      <c r="DJ291" s="399"/>
      <c r="DK291" s="399">
        <v>0</v>
      </c>
      <c r="DL291" s="399"/>
      <c r="DM291" s="399"/>
      <c r="DN291" s="399"/>
      <c r="DO291" s="399"/>
      <c r="DP291" s="399"/>
      <c r="DQ291" s="399"/>
      <c r="DR291" s="399"/>
      <c r="DS291" s="399"/>
      <c r="DT291" s="399"/>
      <c r="DU291" s="399"/>
      <c r="DV291" s="399"/>
      <c r="DW291" s="399"/>
      <c r="DX291" s="399"/>
      <c r="DY291" s="399"/>
      <c r="DZ291" s="399"/>
      <c r="EA291" s="399"/>
      <c r="EB291" s="399"/>
      <c r="EC291" s="399"/>
      <c r="ED291" s="399"/>
      <c r="EE291" s="399"/>
      <c r="EF291" s="399"/>
      <c r="EG291" s="399"/>
      <c r="EH291" s="399"/>
      <c r="EI291" s="399"/>
      <c r="EJ291" s="399"/>
      <c r="EK291" s="399"/>
      <c r="EL291" s="399"/>
      <c r="EM291" s="399"/>
      <c r="EN291" s="399"/>
      <c r="EO291" s="399"/>
      <c r="EP291" s="399"/>
      <c r="EQ291" s="399"/>
      <c r="ER291" s="399"/>
      <c r="ES291" s="399"/>
      <c r="ET291" s="399"/>
      <c r="EU291" s="399"/>
      <c r="EV291" s="399">
        <v>218</v>
      </c>
      <c r="EW291" s="399"/>
      <c r="EX291" s="399"/>
      <c r="EY291" s="399"/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956</v>
      </c>
      <c r="C292" s="399" t="s">
        <v>2334</v>
      </c>
      <c r="D292" s="399" t="s">
        <v>533</v>
      </c>
      <c r="E292" s="399" t="s">
        <v>921</v>
      </c>
      <c r="F292" s="399" t="s">
        <v>2362</v>
      </c>
      <c r="G292" s="399" t="s">
        <v>1239</v>
      </c>
      <c r="H292" s="399" t="s">
        <v>1239</v>
      </c>
      <c r="I292" s="399" t="s">
        <v>893</v>
      </c>
      <c r="J292" s="399" t="s">
        <v>2329</v>
      </c>
      <c r="K292" s="789">
        <v>44593</v>
      </c>
      <c r="L292" s="399">
        <v>0</v>
      </c>
      <c r="M292" s="399">
        <v>0</v>
      </c>
      <c r="N292" s="399">
        <v>4.827</v>
      </c>
      <c r="O292" s="399">
        <v>4.5373799999999997</v>
      </c>
      <c r="P292" s="399">
        <v>4.827</v>
      </c>
      <c r="Q292" s="399">
        <v>4.5373799999999997</v>
      </c>
      <c r="R292" s="399"/>
      <c r="S292" s="399">
        <v>2741.05</v>
      </c>
      <c r="T292" s="399">
        <v>141.32</v>
      </c>
      <c r="U292" s="399"/>
      <c r="V292" s="399">
        <v>13913.199990000001</v>
      </c>
      <c r="W292" s="399">
        <v>13913.199990000001</v>
      </c>
      <c r="X292" s="399">
        <v>9962.3487599999989</v>
      </c>
      <c r="Y292" s="399">
        <v>0</v>
      </c>
      <c r="Z292" s="399">
        <v>254.81263318112872</v>
      </c>
      <c r="AA292" s="399">
        <v>0</v>
      </c>
      <c r="AB292" s="399">
        <v>0</v>
      </c>
      <c r="AC292" s="399">
        <v>0</v>
      </c>
      <c r="AD292" s="399">
        <v>3830.5212597509235</v>
      </c>
      <c r="AE292" s="399">
        <v>9064.1827709995305</v>
      </c>
      <c r="AF292" s="399">
        <v>682.14647526439649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45.286877068489197</v>
      </c>
      <c r="AM292" s="399"/>
      <c r="AN292" s="399">
        <v>2.8997836248152256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33.368850316794344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>
        <v>597.74092560000042</v>
      </c>
      <c r="BR292" s="399"/>
      <c r="BS292" s="399"/>
      <c r="BT292" s="399"/>
      <c r="BU292" s="399"/>
      <c r="BV292" s="399">
        <v>715.51532558119084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9370.0151999999998</v>
      </c>
      <c r="CJ292" s="399">
        <v>-3708.4227906000015</v>
      </c>
      <c r="CK292" s="399"/>
      <c r="CL292" s="399"/>
      <c r="CM292" s="399"/>
      <c r="CN292" s="399"/>
      <c r="CO292" s="399">
        <v>-3950.8512300000011</v>
      </c>
      <c r="CP292" s="399">
        <v>0</v>
      </c>
      <c r="CQ292" s="399">
        <v>29</v>
      </c>
      <c r="CR292" s="399">
        <v>-34.980543939460404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-18.243635676408303</v>
      </c>
      <c r="DA292" s="399">
        <v>0</v>
      </c>
      <c r="DB292" s="399">
        <v>0</v>
      </c>
      <c r="DC292" s="399">
        <v>0</v>
      </c>
      <c r="DD292" s="399">
        <v>0</v>
      </c>
      <c r="DE292" s="399">
        <v>0</v>
      </c>
      <c r="DF292" s="399">
        <v>0</v>
      </c>
      <c r="DG292" s="399">
        <v>0</v>
      </c>
      <c r="DH292" s="399">
        <v>0</v>
      </c>
      <c r="DI292" s="399">
        <v>-14.357076708616063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-2.2629038405566888</v>
      </c>
      <c r="DP292" s="399">
        <v>-0.11692771387971801</v>
      </c>
      <c r="DQ292" s="399">
        <v>0</v>
      </c>
      <c r="DR292" s="399">
        <v>0</v>
      </c>
      <c r="DS292" s="399"/>
      <c r="DT292" s="399"/>
      <c r="DU292" s="399"/>
      <c r="DV292" s="399">
        <v>9064.1827709995305</v>
      </c>
      <c r="DW292" s="399">
        <v>0</v>
      </c>
      <c r="DX292" s="399">
        <v>0</v>
      </c>
      <c r="DY292" s="399">
        <v>-3950.851230000002</v>
      </c>
      <c r="DZ292" s="399">
        <v>0</v>
      </c>
      <c r="EA292" s="399">
        <v>0</v>
      </c>
      <c r="EB292" s="399">
        <v>0</v>
      </c>
      <c r="EC292" s="399">
        <v>-3915.902658298407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218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956</v>
      </c>
      <c r="C293" s="399" t="s">
        <v>2334</v>
      </c>
      <c r="D293" s="399" t="s">
        <v>533</v>
      </c>
      <c r="E293" s="399" t="s">
        <v>921</v>
      </c>
      <c r="F293" s="399" t="s">
        <v>2362</v>
      </c>
      <c r="G293" s="399" t="s">
        <v>1239</v>
      </c>
      <c r="H293" s="399" t="s">
        <v>1239</v>
      </c>
      <c r="I293" s="399" t="s">
        <v>2326</v>
      </c>
      <c r="J293" s="399" t="s">
        <v>2329</v>
      </c>
      <c r="K293" s="789">
        <v>44593</v>
      </c>
      <c r="L293" s="399">
        <v>0</v>
      </c>
      <c r="M293" s="399">
        <v>0</v>
      </c>
      <c r="N293" s="399">
        <v>38.237000000000002</v>
      </c>
      <c r="O293" s="399">
        <v>35.942779999999999</v>
      </c>
      <c r="P293" s="399">
        <v>38.237000000000002</v>
      </c>
      <c r="Q293" s="399">
        <v>35.942779999999999</v>
      </c>
      <c r="R293" s="399"/>
      <c r="S293" s="399">
        <v>69.680000000000007</v>
      </c>
      <c r="T293" s="399">
        <v>141.32</v>
      </c>
      <c r="U293" s="399"/>
      <c r="V293" s="399">
        <v>8068.0069999999996</v>
      </c>
      <c r="W293" s="399">
        <v>8068.0069999999996</v>
      </c>
      <c r="X293" s="399">
        <v>7935.7069799999999</v>
      </c>
      <c r="Y293" s="399">
        <v>0</v>
      </c>
      <c r="Z293" s="399">
        <v>2018.4940242276402</v>
      </c>
      <c r="AA293" s="399">
        <v>0</v>
      </c>
      <c r="AB293" s="399">
        <v>0</v>
      </c>
      <c r="AC293" s="399">
        <v>0</v>
      </c>
      <c r="AD293" s="399">
        <v>0</v>
      </c>
      <c r="AE293" s="399">
        <v>0</v>
      </c>
      <c r="AF293" s="399">
        <v>5403.6119276330492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358.73924144765311</v>
      </c>
      <c r="AM293" s="399"/>
      <c r="AN293" s="399">
        <v>22.970587624209607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264.33079129133324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>
        <v>476.14241880000054</v>
      </c>
      <c r="BR293" s="399"/>
      <c r="BS293" s="399"/>
      <c r="BT293" s="399"/>
      <c r="BU293" s="399"/>
      <c r="BV293" s="399">
        <v>5667.9427189243825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7458.9875999999995</v>
      </c>
      <c r="CJ293" s="399">
        <v>-124.96898000000147</v>
      </c>
      <c r="CK293" s="399"/>
      <c r="CL293" s="399"/>
      <c r="CM293" s="399"/>
      <c r="CN293" s="399"/>
      <c r="CO293" s="399">
        <v>-132.3000200000003</v>
      </c>
      <c r="CP293" s="399">
        <v>0</v>
      </c>
      <c r="CQ293" s="399">
        <v>29</v>
      </c>
      <c r="CR293" s="399">
        <v>-132.58113968393081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0</v>
      </c>
      <c r="DA293" s="399">
        <v>0</v>
      </c>
      <c r="DB293" s="399">
        <v>0</v>
      </c>
      <c r="DC293" s="399">
        <v>0</v>
      </c>
      <c r="DD293" s="399">
        <v>0</v>
      </c>
      <c r="DE293" s="399">
        <v>0</v>
      </c>
      <c r="DF293" s="399">
        <v>0</v>
      </c>
      <c r="DG293" s="399">
        <v>0</v>
      </c>
      <c r="DH293" s="399">
        <v>0</v>
      </c>
      <c r="DI293" s="399">
        <v>-113.729343713974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-17.925555034465731</v>
      </c>
      <c r="DP293" s="399">
        <v>-0.92624093549176578</v>
      </c>
      <c r="DQ293" s="399">
        <v>0</v>
      </c>
      <c r="DR293" s="399">
        <v>0</v>
      </c>
      <c r="DS293" s="399"/>
      <c r="DT293" s="399"/>
      <c r="DU293" s="399"/>
      <c r="DV293" s="399">
        <v>0</v>
      </c>
      <c r="DW293" s="399">
        <v>0</v>
      </c>
      <c r="DX293" s="399">
        <v>0</v>
      </c>
      <c r="DY293" s="399">
        <v>-132.30002000000013</v>
      </c>
      <c r="DZ293" s="399">
        <v>0</v>
      </c>
      <c r="EA293" s="399">
        <v>0</v>
      </c>
      <c r="EB293" s="399">
        <v>0</v>
      </c>
      <c r="EC293" s="399">
        <v>0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218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956</v>
      </c>
      <c r="C294" s="399" t="s">
        <v>2334</v>
      </c>
      <c r="D294" s="399" t="s">
        <v>533</v>
      </c>
      <c r="E294" s="399" t="s">
        <v>921</v>
      </c>
      <c r="F294" s="399" t="s">
        <v>2362</v>
      </c>
      <c r="G294" s="399" t="s">
        <v>1239</v>
      </c>
      <c r="H294" s="399" t="s">
        <v>1239</v>
      </c>
      <c r="I294" s="399" t="s">
        <v>1239</v>
      </c>
      <c r="J294" s="399" t="s">
        <v>2329</v>
      </c>
      <c r="K294" s="789">
        <v>44593</v>
      </c>
      <c r="L294" s="399">
        <v>84</v>
      </c>
      <c r="M294" s="399">
        <v>78.959999999999994</v>
      </c>
      <c r="N294" s="399">
        <v>0</v>
      </c>
      <c r="O294" s="399">
        <v>0</v>
      </c>
      <c r="P294" s="399">
        <v>0</v>
      </c>
      <c r="Q294" s="399">
        <v>0</v>
      </c>
      <c r="R294" s="399">
        <v>35.15</v>
      </c>
      <c r="S294" s="399"/>
      <c r="T294" s="399"/>
      <c r="U294" s="399">
        <v>2952.6</v>
      </c>
      <c r="V294" s="399"/>
      <c r="W294" s="399">
        <v>2952.6</v>
      </c>
      <c r="X294" s="399">
        <v>2155.44</v>
      </c>
      <c r="Y294" s="399">
        <v>0</v>
      </c>
      <c r="Z294" s="399">
        <v>0</v>
      </c>
      <c r="AA294" s="399">
        <v>0</v>
      </c>
      <c r="AB294" s="399">
        <v>0</v>
      </c>
      <c r="AC294" s="399">
        <v>0</v>
      </c>
      <c r="AD294" s="399">
        <v>1119.8353565720915</v>
      </c>
      <c r="AE294" s="399">
        <v>1832.7100865877972</v>
      </c>
      <c r="AF294" s="399"/>
      <c r="AG294" s="399"/>
      <c r="AH294" s="399"/>
      <c r="AI294" s="399">
        <v>0</v>
      </c>
      <c r="AJ294" s="399">
        <v>0</v>
      </c>
      <c r="AK294" s="399">
        <v>0</v>
      </c>
      <c r="AL294" s="399">
        <v>0</v>
      </c>
      <c r="AM294" s="399"/>
      <c r="AN294" s="399">
        <v>0</v>
      </c>
      <c r="AO294" s="399">
        <v>0</v>
      </c>
      <c r="AP294" s="399">
        <v>0</v>
      </c>
      <c r="AQ294" s="399">
        <v>0</v>
      </c>
      <c r="AR294" s="399">
        <v>0</v>
      </c>
      <c r="AS294" s="399"/>
      <c r="AT294" s="399"/>
      <c r="AU294" s="399">
        <v>0</v>
      </c>
      <c r="AV294" s="399">
        <v>0</v>
      </c>
      <c r="AW294" s="399">
        <v>0</v>
      </c>
      <c r="AX294" s="399"/>
      <c r="AY294" s="399"/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/>
      <c r="BG294" s="399">
        <v>0</v>
      </c>
      <c r="BH294" s="399">
        <v>0</v>
      </c>
      <c r="BI294" s="399">
        <v>179.65</v>
      </c>
      <c r="BJ294" s="399">
        <v>829.18</v>
      </c>
      <c r="BK294" s="399">
        <v>9213.08</v>
      </c>
      <c r="BL294" s="399">
        <v>1</v>
      </c>
      <c r="BM294" s="399"/>
      <c r="BN294" s="399"/>
      <c r="BO294" s="399"/>
      <c r="BP294" s="399"/>
      <c r="BQ294" s="399">
        <v>129.32640000000015</v>
      </c>
      <c r="BR294" s="399"/>
      <c r="BS294" s="399"/>
      <c r="BT294" s="399"/>
      <c r="BU294" s="399"/>
      <c r="BV294" s="399">
        <v>0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2026.1135999999999</v>
      </c>
      <c r="CJ294" s="399">
        <v>-749.36040000000025</v>
      </c>
      <c r="CK294" s="399"/>
      <c r="CL294" s="399"/>
      <c r="CM294" s="399"/>
      <c r="CN294" s="399"/>
      <c r="CO294" s="399">
        <v>-797.15999999999985</v>
      </c>
      <c r="CP294" s="399">
        <v>0</v>
      </c>
      <c r="CQ294" s="399">
        <v>29</v>
      </c>
      <c r="CR294" s="399">
        <v>-5.3334433821057701</v>
      </c>
      <c r="CS294" s="399">
        <v>0</v>
      </c>
      <c r="CT294" s="399">
        <v>0</v>
      </c>
      <c r="CU294" s="399">
        <v>0</v>
      </c>
      <c r="CV294" s="399">
        <v>0</v>
      </c>
      <c r="CW294" s="399"/>
      <c r="CX294" s="399"/>
      <c r="CY294" s="399"/>
      <c r="CZ294" s="399">
        <v>-5.3334433821057701</v>
      </c>
      <c r="DA294" s="399">
        <v>0</v>
      </c>
      <c r="DB294" s="399">
        <v>0</v>
      </c>
      <c r="DC294" s="399"/>
      <c r="DD294" s="399"/>
      <c r="DE294" s="399">
        <v>0</v>
      </c>
      <c r="DF294" s="399">
        <v>0</v>
      </c>
      <c r="DG294" s="399">
        <v>0</v>
      </c>
      <c r="DH294" s="399">
        <v>0</v>
      </c>
      <c r="DI294" s="399">
        <v>0</v>
      </c>
      <c r="DJ294" s="399"/>
      <c r="DK294" s="399">
        <v>0</v>
      </c>
      <c r="DL294" s="399">
        <v>0</v>
      </c>
      <c r="DM294" s="399"/>
      <c r="DN294" s="399">
        <v>0</v>
      </c>
      <c r="DO294" s="399">
        <v>0</v>
      </c>
      <c r="DP294" s="399">
        <v>0</v>
      </c>
      <c r="DQ294" s="399">
        <v>0</v>
      </c>
      <c r="DR294" s="399">
        <v>0</v>
      </c>
      <c r="DS294" s="399"/>
      <c r="DT294" s="399"/>
      <c r="DU294" s="399">
        <v>1832.7100865877972</v>
      </c>
      <c r="DV294" s="399"/>
      <c r="DW294" s="399">
        <v>0</v>
      </c>
      <c r="DX294" s="399">
        <v>0</v>
      </c>
      <c r="DY294" s="399">
        <v>-797.15999999999985</v>
      </c>
      <c r="DZ294" s="399"/>
      <c r="EA294" s="399">
        <v>0</v>
      </c>
      <c r="EB294" s="399"/>
      <c r="EC294" s="399">
        <v>-791.76628288222923</v>
      </c>
      <c r="ED294" s="399"/>
      <c r="EE294" s="399">
        <v>0</v>
      </c>
      <c r="EF294" s="399">
        <v>0</v>
      </c>
      <c r="EG294" s="399"/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/>
      <c r="EN294" s="399"/>
      <c r="EO294" s="399">
        <v>0</v>
      </c>
      <c r="EP294" s="399">
        <v>0</v>
      </c>
      <c r="EQ294" s="399"/>
      <c r="ER294" s="399">
        <v>0</v>
      </c>
      <c r="ES294" s="399"/>
      <c r="ET294" s="399">
        <v>0</v>
      </c>
      <c r="EU294" s="399"/>
      <c r="EV294" s="399">
        <v>218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956</v>
      </c>
      <c r="C295" s="399" t="s">
        <v>2328</v>
      </c>
      <c r="D295" s="399" t="s">
        <v>2335</v>
      </c>
      <c r="E295" s="399" t="s">
        <v>894</v>
      </c>
      <c r="F295" s="399" t="s">
        <v>2363</v>
      </c>
      <c r="G295" s="399" t="s">
        <v>2340</v>
      </c>
      <c r="H295" s="399" t="s">
        <v>1239</v>
      </c>
      <c r="I295" s="399" t="s">
        <v>1239</v>
      </c>
      <c r="J295" s="399" t="s">
        <v>2329</v>
      </c>
      <c r="K295" s="789">
        <v>44593</v>
      </c>
      <c r="L295" s="399">
        <v>0</v>
      </c>
      <c r="M295" s="399">
        <v>0</v>
      </c>
      <c r="N295" s="399">
        <v>0</v>
      </c>
      <c r="O295" s="399">
        <v>0</v>
      </c>
      <c r="P295" s="399">
        <v>0</v>
      </c>
      <c r="Q295" s="399">
        <v>0</v>
      </c>
      <c r="R295" s="399"/>
      <c r="S295" s="399"/>
      <c r="T295" s="399"/>
      <c r="U295" s="399"/>
      <c r="V295" s="399"/>
      <c r="W295" s="399"/>
      <c r="X295" s="399"/>
      <c r="Y295" s="399"/>
      <c r="Z295" s="399"/>
      <c r="AA295" s="399">
        <v>0</v>
      </c>
      <c r="AB295" s="399"/>
      <c r="AC295" s="399"/>
      <c r="AD295" s="399"/>
      <c r="AE295" s="399"/>
      <c r="AF295" s="399"/>
      <c r="AG295" s="399"/>
      <c r="AH295" s="399"/>
      <c r="AI295" s="399"/>
      <c r="AJ295" s="399"/>
      <c r="AK295" s="399"/>
      <c r="AL295" s="399"/>
      <c r="AM295" s="399"/>
      <c r="AN295" s="399"/>
      <c r="AO295" s="399"/>
      <c r="AP295" s="399"/>
      <c r="AQ295" s="399"/>
      <c r="AR295" s="399"/>
      <c r="AS295" s="399"/>
      <c r="AT295" s="399"/>
      <c r="AU295" s="399"/>
      <c r="AV295" s="399"/>
      <c r="AW295" s="399"/>
      <c r="AX295" s="399"/>
      <c r="AY295" s="399"/>
      <c r="AZ295" s="399">
        <v>0</v>
      </c>
      <c r="BA295" s="399"/>
      <c r="BB295" s="399"/>
      <c r="BC295" s="399"/>
      <c r="BD295" s="399"/>
      <c r="BE295" s="399"/>
      <c r="BF295" s="399"/>
      <c r="BG295" s="399"/>
      <c r="BH295" s="399"/>
      <c r="BI295" s="399">
        <v>39.979999999999997</v>
      </c>
      <c r="BJ295" s="399">
        <v>184.83</v>
      </c>
      <c r="BK295" s="399">
        <v>1278.46</v>
      </c>
      <c r="BL295" s="399">
        <v>20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/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/>
      <c r="CJ295" s="399">
        <v>-0.03</v>
      </c>
      <c r="CK295" s="399"/>
      <c r="CL295" s="399"/>
      <c r="CM295" s="399"/>
      <c r="CN295" s="399"/>
      <c r="CO295" s="399">
        <v>0</v>
      </c>
      <c r="CP295" s="399">
        <v>0</v>
      </c>
      <c r="CQ295" s="399">
        <v>29</v>
      </c>
      <c r="CR295" s="399"/>
      <c r="CS295" s="399"/>
      <c r="CT295" s="399"/>
      <c r="CU295" s="399"/>
      <c r="CV295" s="399"/>
      <c r="CW295" s="399"/>
      <c r="CX295" s="399"/>
      <c r="CY295" s="399"/>
      <c r="CZ295" s="399"/>
      <c r="DA295" s="399"/>
      <c r="DB295" s="399"/>
      <c r="DC295" s="399"/>
      <c r="DD295" s="399"/>
      <c r="DE295" s="399"/>
      <c r="DF295" s="399"/>
      <c r="DG295" s="399"/>
      <c r="DH295" s="399"/>
      <c r="DI295" s="399"/>
      <c r="DJ295" s="399"/>
      <c r="DK295" s="399">
        <v>0</v>
      </c>
      <c r="DL295" s="399"/>
      <c r="DM295" s="399"/>
      <c r="DN295" s="399"/>
      <c r="DO295" s="399"/>
      <c r="DP295" s="399"/>
      <c r="DQ295" s="399"/>
      <c r="DR295" s="399"/>
      <c r="DS295" s="399"/>
      <c r="DT295" s="399"/>
      <c r="DU295" s="399"/>
      <c r="DV295" s="399"/>
      <c r="DW295" s="399"/>
      <c r="DX295" s="399"/>
      <c r="DY295" s="399"/>
      <c r="DZ295" s="399"/>
      <c r="EA295" s="399"/>
      <c r="EB295" s="399"/>
      <c r="EC295" s="399"/>
      <c r="ED295" s="399"/>
      <c r="EE295" s="399"/>
      <c r="EF295" s="399"/>
      <c r="EG295" s="399"/>
      <c r="EH295" s="399"/>
      <c r="EI295" s="399"/>
      <c r="EJ295" s="399"/>
      <c r="EK295" s="399"/>
      <c r="EL295" s="399"/>
      <c r="EM295" s="399"/>
      <c r="EN295" s="399"/>
      <c r="EO295" s="399"/>
      <c r="EP295" s="399"/>
      <c r="EQ295" s="399"/>
      <c r="ER295" s="399"/>
      <c r="ES295" s="399"/>
      <c r="ET295" s="399"/>
      <c r="EU295" s="399"/>
      <c r="EV295" s="399">
        <v>218</v>
      </c>
      <c r="EW295" s="399"/>
      <c r="EX295" s="399"/>
      <c r="EY295" s="399"/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2361</v>
      </c>
      <c r="C296" s="399" t="s">
        <v>2328</v>
      </c>
      <c r="D296" s="399" t="s">
        <v>2335</v>
      </c>
      <c r="E296" s="399" t="s">
        <v>894</v>
      </c>
      <c r="F296" s="399" t="s">
        <v>2363</v>
      </c>
      <c r="G296" s="399" t="s">
        <v>2340</v>
      </c>
      <c r="H296" s="399" t="s">
        <v>1239</v>
      </c>
      <c r="I296" s="399" t="s">
        <v>1239</v>
      </c>
      <c r="J296" s="399" t="s">
        <v>2329</v>
      </c>
      <c r="K296" s="789">
        <v>44593</v>
      </c>
      <c r="L296" s="399">
        <v>0</v>
      </c>
      <c r="M296" s="399">
        <v>0</v>
      </c>
      <c r="N296" s="399">
        <v>0</v>
      </c>
      <c r="O296" s="399">
        <v>0</v>
      </c>
      <c r="P296" s="399">
        <v>0</v>
      </c>
      <c r="Q296" s="399">
        <v>0</v>
      </c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>
        <v>0</v>
      </c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>
        <v>0</v>
      </c>
      <c r="BA296" s="399"/>
      <c r="BB296" s="399"/>
      <c r="BC296" s="399"/>
      <c r="BD296" s="399"/>
      <c r="BE296" s="399"/>
      <c r="BF296" s="399"/>
      <c r="BG296" s="399"/>
      <c r="BH296" s="399"/>
      <c r="BI296" s="399">
        <v>2.1</v>
      </c>
      <c r="BJ296" s="399">
        <v>9.77</v>
      </c>
      <c r="BK296" s="399">
        <v>60.79</v>
      </c>
      <c r="BL296" s="399">
        <v>4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/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/>
      <c r="CJ296" s="399">
        <v>-0.03</v>
      </c>
      <c r="CK296" s="399"/>
      <c r="CL296" s="399"/>
      <c r="CM296" s="399"/>
      <c r="CN296" s="399"/>
      <c r="CO296" s="399">
        <v>0</v>
      </c>
      <c r="CP296" s="399">
        <v>0</v>
      </c>
      <c r="CQ296" s="399">
        <v>29</v>
      </c>
      <c r="CR296" s="399"/>
      <c r="CS296" s="399"/>
      <c r="CT296" s="399"/>
      <c r="CU296" s="399"/>
      <c r="CV296" s="399"/>
      <c r="CW296" s="399"/>
      <c r="CX296" s="399"/>
      <c r="CY296" s="399"/>
      <c r="CZ296" s="399"/>
      <c r="DA296" s="399"/>
      <c r="DB296" s="399"/>
      <c r="DC296" s="399"/>
      <c r="DD296" s="399"/>
      <c r="DE296" s="399"/>
      <c r="DF296" s="399"/>
      <c r="DG296" s="399"/>
      <c r="DH296" s="399"/>
      <c r="DI296" s="399"/>
      <c r="DJ296" s="399"/>
      <c r="DK296" s="399">
        <v>0</v>
      </c>
      <c r="DL296" s="399"/>
      <c r="DM296" s="399"/>
      <c r="DN296" s="399"/>
      <c r="DO296" s="399"/>
      <c r="DP296" s="399"/>
      <c r="DQ296" s="399"/>
      <c r="DR296" s="399"/>
      <c r="DS296" s="399"/>
      <c r="DT296" s="399"/>
      <c r="DU296" s="399"/>
      <c r="DV296" s="399"/>
      <c r="DW296" s="399"/>
      <c r="DX296" s="399"/>
      <c r="DY296" s="399"/>
      <c r="DZ296" s="399"/>
      <c r="EA296" s="399"/>
      <c r="EB296" s="399"/>
      <c r="EC296" s="399"/>
      <c r="ED296" s="399"/>
      <c r="EE296" s="399"/>
      <c r="EF296" s="399"/>
      <c r="EG296" s="399"/>
      <c r="EH296" s="399"/>
      <c r="EI296" s="399"/>
      <c r="EJ296" s="399"/>
      <c r="EK296" s="399"/>
      <c r="EL296" s="399"/>
      <c r="EM296" s="399"/>
      <c r="EN296" s="399"/>
      <c r="EO296" s="399"/>
      <c r="EP296" s="399"/>
      <c r="EQ296" s="399"/>
      <c r="ER296" s="399"/>
      <c r="ES296" s="399"/>
      <c r="ET296" s="399"/>
      <c r="EU296" s="399"/>
      <c r="EV296" s="399">
        <v>218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956</v>
      </c>
      <c r="C297" s="399" t="s">
        <v>2328</v>
      </c>
      <c r="D297" s="399" t="s">
        <v>2335</v>
      </c>
      <c r="E297" s="399" t="s">
        <v>894</v>
      </c>
      <c r="F297" s="399" t="s">
        <v>2363</v>
      </c>
      <c r="G297" s="399" t="s">
        <v>2340</v>
      </c>
      <c r="H297" s="399" t="s">
        <v>1239</v>
      </c>
      <c r="I297" s="399" t="s">
        <v>1239</v>
      </c>
      <c r="J297" s="399" t="s">
        <v>2329</v>
      </c>
      <c r="K297" s="789">
        <v>44593</v>
      </c>
      <c r="L297" s="399">
        <v>0</v>
      </c>
      <c r="M297" s="399">
        <v>0</v>
      </c>
      <c r="N297" s="399">
        <v>4.452</v>
      </c>
      <c r="O297" s="399">
        <v>4.452</v>
      </c>
      <c r="P297" s="399">
        <v>4.452</v>
      </c>
      <c r="Q297" s="399">
        <v>4.452</v>
      </c>
      <c r="R297" s="399"/>
      <c r="S297" s="399">
        <v>521.86</v>
      </c>
      <c r="T297" s="399">
        <v>141.32</v>
      </c>
      <c r="U297" s="399"/>
      <c r="V297" s="399">
        <v>2952.4773599999999</v>
      </c>
      <c r="W297" s="399">
        <v>2952.4773599999999</v>
      </c>
      <c r="X297" s="399">
        <v>2307.6051600000001</v>
      </c>
      <c r="Y297" s="399">
        <v>0</v>
      </c>
      <c r="Z297" s="399">
        <v>270.13419318116837</v>
      </c>
      <c r="AA297" s="399">
        <v>0</v>
      </c>
      <c r="AB297" s="399">
        <v>0</v>
      </c>
      <c r="AC297" s="399">
        <v>0</v>
      </c>
      <c r="AD297" s="399">
        <v>478.82952749792679</v>
      </c>
      <c r="AE297" s="399">
        <v>1446.6809387079941</v>
      </c>
      <c r="AF297" s="399">
        <v>629.15187650240171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41.768629937624596</v>
      </c>
      <c r="AM297" s="399"/>
      <c r="AN297" s="399">
        <v>6.1743304748340382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79.712605944957303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>
        <v>276.9144</v>
      </c>
      <c r="BS297" s="399"/>
      <c r="BT297" s="399"/>
      <c r="BU297" s="399"/>
      <c r="BV297" s="399">
        <v>708.86448244735902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2029.7785000000001</v>
      </c>
      <c r="CJ297" s="399">
        <v>-568.39418000000001</v>
      </c>
      <c r="CK297" s="399"/>
      <c r="CL297" s="399"/>
      <c r="CM297" s="399"/>
      <c r="CN297" s="399"/>
      <c r="CO297" s="399">
        <v>-644.87220000000013</v>
      </c>
      <c r="CP297" s="399">
        <v>0</v>
      </c>
      <c r="CQ297" s="399">
        <v>29</v>
      </c>
      <c r="CR297" s="399">
        <v>-19.836942723430411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-2.2805228997324321</v>
      </c>
      <c r="DA297" s="399">
        <v>0</v>
      </c>
      <c r="DB297" s="399">
        <v>0</v>
      </c>
      <c r="DC297" s="399">
        <v>0</v>
      </c>
      <c r="DD297" s="399">
        <v>0</v>
      </c>
      <c r="DE297" s="399">
        <v>0</v>
      </c>
      <c r="DF297" s="399">
        <v>0</v>
      </c>
      <c r="DG297" s="399">
        <v>0</v>
      </c>
      <c r="DH297" s="399">
        <v>0</v>
      </c>
      <c r="DI297" s="399">
        <v>-15.220349496428497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-2.0871033557402896</v>
      </c>
      <c r="DP297" s="399">
        <v>-0.24896697152917291</v>
      </c>
      <c r="DQ297" s="399">
        <v>0</v>
      </c>
      <c r="DR297" s="399">
        <v>0</v>
      </c>
      <c r="DS297" s="399"/>
      <c r="DT297" s="399"/>
      <c r="DU297" s="399"/>
      <c r="DV297" s="399">
        <v>1446.6809387079941</v>
      </c>
      <c r="DW297" s="399">
        <v>0</v>
      </c>
      <c r="DX297" s="399">
        <v>0</v>
      </c>
      <c r="DY297" s="399">
        <v>-644.87220000000025</v>
      </c>
      <c r="DZ297" s="399">
        <v>0</v>
      </c>
      <c r="EA297" s="399">
        <v>0</v>
      </c>
      <c r="EB297" s="399">
        <v>0</v>
      </c>
      <c r="EC297" s="399">
        <v>-624.99420816197244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218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2361</v>
      </c>
      <c r="C298" s="399" t="s">
        <v>2328</v>
      </c>
      <c r="D298" s="399" t="s">
        <v>2335</v>
      </c>
      <c r="E298" s="399" t="s">
        <v>894</v>
      </c>
      <c r="F298" s="399" t="s">
        <v>2363</v>
      </c>
      <c r="G298" s="399" t="s">
        <v>2340</v>
      </c>
      <c r="H298" s="399" t="s">
        <v>1239</v>
      </c>
      <c r="I298" s="399" t="s">
        <v>1239</v>
      </c>
      <c r="J298" s="399" t="s">
        <v>2329</v>
      </c>
      <c r="K298" s="789">
        <v>44593</v>
      </c>
      <c r="L298" s="399">
        <v>0</v>
      </c>
      <c r="M298" s="399">
        <v>0</v>
      </c>
      <c r="N298" s="399">
        <v>0.33800000000000002</v>
      </c>
      <c r="O298" s="399">
        <v>0.33800000000000002</v>
      </c>
      <c r="P298" s="399">
        <v>0.33800000000000002</v>
      </c>
      <c r="Q298" s="399">
        <v>0.33800000000000002</v>
      </c>
      <c r="R298" s="399"/>
      <c r="S298" s="399">
        <v>521.86</v>
      </c>
      <c r="T298" s="399">
        <v>141.32</v>
      </c>
      <c r="U298" s="399"/>
      <c r="V298" s="399">
        <v>224.15484000000004</v>
      </c>
      <c r="W298" s="399">
        <v>224.15484000000004</v>
      </c>
      <c r="X298" s="399">
        <v>175.19553999999999</v>
      </c>
      <c r="Y298" s="399">
        <v>0</v>
      </c>
      <c r="Z298" s="399">
        <v>20.508840362811078</v>
      </c>
      <c r="AA298" s="399">
        <v>0</v>
      </c>
      <c r="AB298" s="399">
        <v>0</v>
      </c>
      <c r="AC298" s="399">
        <v>0</v>
      </c>
      <c r="AD298" s="399">
        <v>36.353185151459854</v>
      </c>
      <c r="AE298" s="399">
        <v>109.83336866201753</v>
      </c>
      <c r="AF298" s="399">
        <v>47.765798350811274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3.1711134139526309</v>
      </c>
      <c r="AM298" s="399"/>
      <c r="AN298" s="399">
        <v>0.46876093901480353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6.0518555277168851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>
        <v>21.023600000000002</v>
      </c>
      <c r="BS298" s="399"/>
      <c r="BT298" s="399"/>
      <c r="BU298" s="399"/>
      <c r="BV298" s="399">
        <v>53.817653878528162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155.08420000000001</v>
      </c>
      <c r="CJ298" s="399">
        <v>-42.199219999999997</v>
      </c>
      <c r="CK298" s="399"/>
      <c r="CL298" s="399"/>
      <c r="CM298" s="399"/>
      <c r="CN298" s="399"/>
      <c r="CO298" s="399">
        <v>-48.959300000000013</v>
      </c>
      <c r="CP298" s="399">
        <v>0</v>
      </c>
      <c r="CQ298" s="399">
        <v>29</v>
      </c>
      <c r="CR298" s="399">
        <v>-1.5060392274302501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-0.17313942949451189</v>
      </c>
      <c r="DA298" s="399">
        <v>0</v>
      </c>
      <c r="DB298" s="399">
        <v>0</v>
      </c>
      <c r="DC298" s="399">
        <v>0</v>
      </c>
      <c r="DD298" s="399">
        <v>0</v>
      </c>
      <c r="DE298" s="399">
        <v>0</v>
      </c>
      <c r="DF298" s="399">
        <v>0</v>
      </c>
      <c r="DG298" s="399">
        <v>0</v>
      </c>
      <c r="DH298" s="399">
        <v>0</v>
      </c>
      <c r="DI298" s="399">
        <v>-1.1555431558384655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-0.15845483698118068</v>
      </c>
      <c r="DP298" s="399">
        <v>-1.8901805116096293E-2</v>
      </c>
      <c r="DQ298" s="399">
        <v>0</v>
      </c>
      <c r="DR298" s="399">
        <v>0</v>
      </c>
      <c r="DS298" s="399"/>
      <c r="DT298" s="399"/>
      <c r="DU298" s="399"/>
      <c r="DV298" s="399">
        <v>109.83336866201753</v>
      </c>
      <c r="DW298" s="399">
        <v>0</v>
      </c>
      <c r="DX298" s="399">
        <v>0</v>
      </c>
      <c r="DY298" s="399">
        <v>-48.959300000000013</v>
      </c>
      <c r="DZ298" s="399">
        <v>0</v>
      </c>
      <c r="EA298" s="399">
        <v>0</v>
      </c>
      <c r="EB298" s="399">
        <v>0</v>
      </c>
      <c r="EC298" s="399">
        <v>-47.450144285432778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218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956</v>
      </c>
      <c r="C299" s="399" t="s">
        <v>2328</v>
      </c>
      <c r="D299" s="399" t="s">
        <v>2335</v>
      </c>
      <c r="E299" s="399" t="s">
        <v>894</v>
      </c>
      <c r="F299" s="399" t="s">
        <v>2363</v>
      </c>
      <c r="G299" s="399" t="s">
        <v>2341</v>
      </c>
      <c r="H299" s="399" t="s">
        <v>1239</v>
      </c>
      <c r="I299" s="399" t="s">
        <v>1239</v>
      </c>
      <c r="J299" s="399" t="s">
        <v>2329</v>
      </c>
      <c r="K299" s="789">
        <v>44593</v>
      </c>
      <c r="L299" s="399">
        <v>0</v>
      </c>
      <c r="M299" s="399">
        <v>0</v>
      </c>
      <c r="N299" s="399">
        <v>4.54</v>
      </c>
      <c r="O299" s="399">
        <v>1.8160000000000001</v>
      </c>
      <c r="P299" s="399">
        <v>4.54</v>
      </c>
      <c r="Q299" s="399">
        <v>1.8160000000000001</v>
      </c>
      <c r="R299" s="399"/>
      <c r="S299" s="399">
        <v>521.86</v>
      </c>
      <c r="T299" s="399">
        <v>141.32</v>
      </c>
      <c r="U299" s="399"/>
      <c r="V299" s="399">
        <v>3010.8371999999999</v>
      </c>
      <c r="W299" s="399">
        <v>3010.8371999999999</v>
      </c>
      <c r="X299" s="399">
        <v>2353.2181999999998</v>
      </c>
      <c r="Y299" s="399">
        <v>0</v>
      </c>
      <c r="Z299" s="399">
        <v>275.47377292059849</v>
      </c>
      <c r="AA299" s="399">
        <v>0</v>
      </c>
      <c r="AB299" s="399">
        <v>0</v>
      </c>
      <c r="AC299" s="399">
        <v>0</v>
      </c>
      <c r="AD299" s="399">
        <v>488.29426209357314</v>
      </c>
      <c r="AE299" s="399">
        <v>1475.2766086555016</v>
      </c>
      <c r="AF299" s="399">
        <v>641.58794234521656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42.594245264334155</v>
      </c>
      <c r="AM299" s="399"/>
      <c r="AN299" s="399">
        <v>6.2963747429799044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81.288236969925023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/>
      <c r="BS299" s="399">
        <v>1524.8861199999999</v>
      </c>
      <c r="BT299" s="399"/>
      <c r="BU299" s="399"/>
      <c r="BV299" s="399">
        <v>722.8761793151416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830.15660000000003</v>
      </c>
      <c r="CJ299" s="399">
        <v>-229.67284000000018</v>
      </c>
      <c r="CK299" s="399"/>
      <c r="CL299" s="399"/>
      <c r="CM299" s="399"/>
      <c r="CN299" s="399"/>
      <c r="CO299" s="399">
        <v>-657.61900000000014</v>
      </c>
      <c r="CP299" s="399">
        <v>0</v>
      </c>
      <c r="CQ299" s="399">
        <v>29</v>
      </c>
      <c r="CR299" s="399">
        <v>-20.229047611045644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-2.3256006210208966</v>
      </c>
      <c r="DA299" s="399">
        <v>0</v>
      </c>
      <c r="DB299" s="399">
        <v>0</v>
      </c>
      <c r="DC299" s="399">
        <v>0</v>
      </c>
      <c r="DD299" s="399">
        <v>0</v>
      </c>
      <c r="DE299" s="399">
        <v>0</v>
      </c>
      <c r="DF299" s="399">
        <v>0</v>
      </c>
      <c r="DG299" s="399">
        <v>0</v>
      </c>
      <c r="DH299" s="399">
        <v>0</v>
      </c>
      <c r="DI299" s="399">
        <v>-15.521200968954531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-2.1283578695105376</v>
      </c>
      <c r="DP299" s="399">
        <v>-0.2538881515593987</v>
      </c>
      <c r="DQ299" s="399">
        <v>0</v>
      </c>
      <c r="DR299" s="399">
        <v>0</v>
      </c>
      <c r="DS299" s="399"/>
      <c r="DT299" s="399"/>
      <c r="DU299" s="399"/>
      <c r="DV299" s="399">
        <v>1475.2766086555016</v>
      </c>
      <c r="DW299" s="399">
        <v>0</v>
      </c>
      <c r="DX299" s="399">
        <v>0</v>
      </c>
      <c r="DY299" s="399">
        <v>-657.61900000000014</v>
      </c>
      <c r="DZ299" s="399">
        <v>0</v>
      </c>
      <c r="EA299" s="399">
        <v>0</v>
      </c>
      <c r="EB299" s="399">
        <v>0</v>
      </c>
      <c r="EC299" s="399">
        <v>-637.34809188125678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218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2361</v>
      </c>
      <c r="C300" s="399" t="s">
        <v>2328</v>
      </c>
      <c r="D300" s="399" t="s">
        <v>2335</v>
      </c>
      <c r="E300" s="399" t="s">
        <v>894</v>
      </c>
      <c r="F300" s="399" t="s">
        <v>2363</v>
      </c>
      <c r="G300" s="399" t="s">
        <v>2341</v>
      </c>
      <c r="H300" s="399" t="s">
        <v>1239</v>
      </c>
      <c r="I300" s="399" t="s">
        <v>1239</v>
      </c>
      <c r="J300" s="399" t="s">
        <v>2329</v>
      </c>
      <c r="K300" s="789">
        <v>44593</v>
      </c>
      <c r="L300" s="399">
        <v>0</v>
      </c>
      <c r="M300" s="399">
        <v>0</v>
      </c>
      <c r="N300" s="399">
        <v>0.13700000000000001</v>
      </c>
      <c r="O300" s="399">
        <v>5.4800000000000001E-2</v>
      </c>
      <c r="P300" s="399">
        <v>0.13700000000000001</v>
      </c>
      <c r="Q300" s="399">
        <v>5.4800000000000001E-2</v>
      </c>
      <c r="R300" s="399"/>
      <c r="S300" s="399">
        <v>521.86</v>
      </c>
      <c r="T300" s="399">
        <v>141.32</v>
      </c>
      <c r="U300" s="399"/>
      <c r="V300" s="399">
        <v>90.85566</v>
      </c>
      <c r="W300" s="399">
        <v>90.85566</v>
      </c>
      <c r="X300" s="399">
        <v>71.011210000000005</v>
      </c>
      <c r="Y300" s="399">
        <v>0</v>
      </c>
      <c r="Z300" s="399">
        <v>8.3127548216127742</v>
      </c>
      <c r="AA300" s="399">
        <v>0</v>
      </c>
      <c r="AB300" s="399">
        <v>0</v>
      </c>
      <c r="AC300" s="399">
        <v>0</v>
      </c>
      <c r="AD300" s="399">
        <v>14.734870904585799</v>
      </c>
      <c r="AE300" s="399">
        <v>44.518258895551483</v>
      </c>
      <c r="AF300" s="399">
        <v>19.360693414382084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1.2853329518092025</v>
      </c>
      <c r="AM300" s="399"/>
      <c r="AN300" s="399">
        <v>0.19000073563617775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2.4529710275065479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>
        <v>46.015286000000003</v>
      </c>
      <c r="BT300" s="399"/>
      <c r="BU300" s="399"/>
      <c r="BV300" s="399">
        <v>21.813664441888633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22.8065</v>
      </c>
      <c r="CJ300" s="399">
        <v>-9.2042320000000046</v>
      </c>
      <c r="CK300" s="399"/>
      <c r="CL300" s="399"/>
      <c r="CM300" s="399"/>
      <c r="CN300" s="399"/>
      <c r="CO300" s="399">
        <v>-19.844450000000005</v>
      </c>
      <c r="CP300" s="399">
        <v>0</v>
      </c>
      <c r="CQ300" s="399">
        <v>29</v>
      </c>
      <c r="CR300" s="399">
        <v>-0.61043601821876337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-7.0177816096887113E-2</v>
      </c>
      <c r="DA300" s="399">
        <v>0</v>
      </c>
      <c r="DB300" s="399">
        <v>0</v>
      </c>
      <c r="DC300" s="399">
        <v>0</v>
      </c>
      <c r="DD300" s="399">
        <v>0</v>
      </c>
      <c r="DE300" s="399">
        <v>0</v>
      </c>
      <c r="DF300" s="399">
        <v>0</v>
      </c>
      <c r="DG300" s="399">
        <v>0</v>
      </c>
      <c r="DH300" s="399">
        <v>0</v>
      </c>
      <c r="DI300" s="399">
        <v>-0.4683710424552352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-6.4225777119591099E-2</v>
      </c>
      <c r="DP300" s="399">
        <v>-7.6613825470567554E-3</v>
      </c>
      <c r="DQ300" s="399">
        <v>0</v>
      </c>
      <c r="DR300" s="399">
        <v>0</v>
      </c>
      <c r="DS300" s="399"/>
      <c r="DT300" s="399"/>
      <c r="DU300" s="399"/>
      <c r="DV300" s="399">
        <v>44.518258895551483</v>
      </c>
      <c r="DW300" s="399">
        <v>0</v>
      </c>
      <c r="DX300" s="399">
        <v>0</v>
      </c>
      <c r="DY300" s="399">
        <v>-19.844450000000002</v>
      </c>
      <c r="DZ300" s="399">
        <v>0</v>
      </c>
      <c r="EA300" s="399">
        <v>0</v>
      </c>
      <c r="EB300" s="399">
        <v>0</v>
      </c>
      <c r="EC300" s="399">
        <v>-19.23275079024938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218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956</v>
      </c>
      <c r="C301" s="399" t="s">
        <v>2328</v>
      </c>
      <c r="D301" s="399" t="s">
        <v>2335</v>
      </c>
      <c r="E301" s="399" t="s">
        <v>894</v>
      </c>
      <c r="F301" s="399" t="s">
        <v>2342</v>
      </c>
      <c r="G301" s="399" t="s">
        <v>2340</v>
      </c>
      <c r="H301" s="399" t="s">
        <v>1239</v>
      </c>
      <c r="I301" s="399" t="s">
        <v>1239</v>
      </c>
      <c r="J301" s="399" t="s">
        <v>2329</v>
      </c>
      <c r="K301" s="789">
        <v>44593</v>
      </c>
      <c r="L301" s="399">
        <v>0</v>
      </c>
      <c r="M301" s="399">
        <v>0</v>
      </c>
      <c r="N301" s="399">
        <v>0</v>
      </c>
      <c r="O301" s="399">
        <v>0</v>
      </c>
      <c r="P301" s="399">
        <v>0</v>
      </c>
      <c r="Q301" s="399">
        <v>0</v>
      </c>
      <c r="R301" s="399"/>
      <c r="S301" s="399"/>
      <c r="T301" s="399"/>
      <c r="U301" s="399"/>
      <c r="V301" s="399"/>
      <c r="W301" s="399"/>
      <c r="X301" s="399"/>
      <c r="Y301" s="399"/>
      <c r="Z301" s="399"/>
      <c r="AA301" s="399">
        <v>0</v>
      </c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399"/>
      <c r="AL301" s="399"/>
      <c r="AM301" s="399"/>
      <c r="AN301" s="399"/>
      <c r="AO301" s="399"/>
      <c r="AP301" s="399"/>
      <c r="AQ301" s="399"/>
      <c r="AR301" s="399"/>
      <c r="AS301" s="399"/>
      <c r="AT301" s="399"/>
      <c r="AU301" s="399"/>
      <c r="AV301" s="399"/>
      <c r="AW301" s="399"/>
      <c r="AX301" s="399"/>
      <c r="AY301" s="399"/>
      <c r="AZ301" s="399">
        <v>0</v>
      </c>
      <c r="BA301" s="399"/>
      <c r="BB301" s="399"/>
      <c r="BC301" s="399"/>
      <c r="BD301" s="399"/>
      <c r="BE301" s="399"/>
      <c r="BF301" s="399"/>
      <c r="BG301" s="399"/>
      <c r="BH301" s="399"/>
      <c r="BI301" s="399">
        <v>116.09</v>
      </c>
      <c r="BJ301" s="399">
        <v>536.22</v>
      </c>
      <c r="BK301" s="399">
        <v>4608.82</v>
      </c>
      <c r="BL301" s="399">
        <v>15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/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/>
      <c r="CJ301" s="399">
        <v>-0.03</v>
      </c>
      <c r="CK301" s="399"/>
      <c r="CL301" s="399"/>
      <c r="CM301" s="399"/>
      <c r="CN301" s="399"/>
      <c r="CO301" s="399">
        <v>0</v>
      </c>
      <c r="CP301" s="399">
        <v>0</v>
      </c>
      <c r="CQ301" s="399">
        <v>29</v>
      </c>
      <c r="CR301" s="399"/>
      <c r="CS301" s="399"/>
      <c r="CT301" s="399"/>
      <c r="CU301" s="399"/>
      <c r="CV301" s="399"/>
      <c r="CW301" s="399"/>
      <c r="CX301" s="399"/>
      <c r="CY301" s="399"/>
      <c r="CZ301" s="399"/>
      <c r="DA301" s="399"/>
      <c r="DB301" s="399"/>
      <c r="DC301" s="399"/>
      <c r="DD301" s="399"/>
      <c r="DE301" s="399"/>
      <c r="DF301" s="399"/>
      <c r="DG301" s="399"/>
      <c r="DH301" s="399"/>
      <c r="DI301" s="399"/>
      <c r="DJ301" s="399"/>
      <c r="DK301" s="399">
        <v>0</v>
      </c>
      <c r="DL301" s="399"/>
      <c r="DM301" s="399"/>
      <c r="DN301" s="399"/>
      <c r="DO301" s="399"/>
      <c r="DP301" s="399"/>
      <c r="DQ301" s="399"/>
      <c r="DR301" s="399"/>
      <c r="DS301" s="399"/>
      <c r="DT301" s="399"/>
      <c r="DU301" s="399"/>
      <c r="DV301" s="399"/>
      <c r="DW301" s="399"/>
      <c r="DX301" s="399"/>
      <c r="DY301" s="399"/>
      <c r="DZ301" s="399"/>
      <c r="EA301" s="399"/>
      <c r="EB301" s="399"/>
      <c r="EC301" s="399"/>
      <c r="ED301" s="399"/>
      <c r="EE301" s="399"/>
      <c r="EF301" s="399"/>
      <c r="EG301" s="399"/>
      <c r="EH301" s="399"/>
      <c r="EI301" s="399"/>
      <c r="EJ301" s="399"/>
      <c r="EK301" s="399"/>
      <c r="EL301" s="399"/>
      <c r="EM301" s="399"/>
      <c r="EN301" s="399"/>
      <c r="EO301" s="399"/>
      <c r="EP301" s="399"/>
      <c r="EQ301" s="399"/>
      <c r="ER301" s="399"/>
      <c r="ES301" s="399"/>
      <c r="ET301" s="399"/>
      <c r="EU301" s="399"/>
      <c r="EV301" s="399">
        <v>218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2361</v>
      </c>
      <c r="C302" s="399" t="s">
        <v>2328</v>
      </c>
      <c r="D302" s="399" t="s">
        <v>2335</v>
      </c>
      <c r="E302" s="399" t="s">
        <v>894</v>
      </c>
      <c r="F302" s="399" t="s">
        <v>2342</v>
      </c>
      <c r="G302" s="399" t="s">
        <v>2340</v>
      </c>
      <c r="H302" s="399" t="s">
        <v>1239</v>
      </c>
      <c r="I302" s="399" t="s">
        <v>1239</v>
      </c>
      <c r="J302" s="399" t="s">
        <v>2329</v>
      </c>
      <c r="K302" s="789">
        <v>44593</v>
      </c>
      <c r="L302" s="399">
        <v>0</v>
      </c>
      <c r="M302" s="399">
        <v>0</v>
      </c>
      <c r="N302" s="399">
        <v>0</v>
      </c>
      <c r="O302" s="399">
        <v>0</v>
      </c>
      <c r="P302" s="399">
        <v>0</v>
      </c>
      <c r="Q302" s="399">
        <v>0</v>
      </c>
      <c r="R302" s="399"/>
      <c r="S302" s="399"/>
      <c r="T302" s="399"/>
      <c r="U302" s="399"/>
      <c r="V302" s="399"/>
      <c r="W302" s="399"/>
      <c r="X302" s="399"/>
      <c r="Y302" s="399"/>
      <c r="Z302" s="399"/>
      <c r="AA302" s="399">
        <v>0</v>
      </c>
      <c r="AB302" s="399"/>
      <c r="AC302" s="399"/>
      <c r="AD302" s="399"/>
      <c r="AE302" s="399"/>
      <c r="AF302" s="399"/>
      <c r="AG302" s="399"/>
      <c r="AH302" s="399"/>
      <c r="AI302" s="399"/>
      <c r="AJ302" s="399"/>
      <c r="AK302" s="399"/>
      <c r="AL302" s="399"/>
      <c r="AM302" s="399"/>
      <c r="AN302" s="399"/>
      <c r="AO302" s="399"/>
      <c r="AP302" s="399"/>
      <c r="AQ302" s="399"/>
      <c r="AR302" s="399"/>
      <c r="AS302" s="399"/>
      <c r="AT302" s="399"/>
      <c r="AU302" s="399"/>
      <c r="AV302" s="399"/>
      <c r="AW302" s="399"/>
      <c r="AX302" s="399"/>
      <c r="AY302" s="399"/>
      <c r="AZ302" s="399">
        <v>0</v>
      </c>
      <c r="BA302" s="399"/>
      <c r="BB302" s="399"/>
      <c r="BC302" s="399"/>
      <c r="BD302" s="399"/>
      <c r="BE302" s="399"/>
      <c r="BF302" s="399"/>
      <c r="BG302" s="399"/>
      <c r="BH302" s="399"/>
      <c r="BI302" s="399">
        <v>18.86</v>
      </c>
      <c r="BJ302" s="399">
        <v>87.09</v>
      </c>
      <c r="BK302" s="399">
        <v>934.13</v>
      </c>
      <c r="BL302" s="399">
        <v>4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/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/>
      <c r="CJ302" s="399">
        <v>-0.03</v>
      </c>
      <c r="CK302" s="399"/>
      <c r="CL302" s="399"/>
      <c r="CM302" s="399"/>
      <c r="CN302" s="399"/>
      <c r="CO302" s="399">
        <v>0</v>
      </c>
      <c r="CP302" s="399">
        <v>0</v>
      </c>
      <c r="CQ302" s="399">
        <v>29</v>
      </c>
      <c r="CR302" s="399"/>
      <c r="CS302" s="399"/>
      <c r="CT302" s="399"/>
      <c r="CU302" s="399"/>
      <c r="CV302" s="399"/>
      <c r="CW302" s="399"/>
      <c r="CX302" s="399"/>
      <c r="CY302" s="399"/>
      <c r="CZ302" s="399"/>
      <c r="DA302" s="399"/>
      <c r="DB302" s="399"/>
      <c r="DC302" s="399"/>
      <c r="DD302" s="399"/>
      <c r="DE302" s="399"/>
      <c r="DF302" s="399"/>
      <c r="DG302" s="399"/>
      <c r="DH302" s="399"/>
      <c r="DI302" s="399"/>
      <c r="DJ302" s="399"/>
      <c r="DK302" s="399">
        <v>0</v>
      </c>
      <c r="DL302" s="399"/>
      <c r="DM302" s="399"/>
      <c r="DN302" s="399"/>
      <c r="DO302" s="399"/>
      <c r="DP302" s="399"/>
      <c r="DQ302" s="399"/>
      <c r="DR302" s="399"/>
      <c r="DS302" s="399"/>
      <c r="DT302" s="399"/>
      <c r="DU302" s="399"/>
      <c r="DV302" s="399"/>
      <c r="DW302" s="399"/>
      <c r="DX302" s="399"/>
      <c r="DY302" s="399"/>
      <c r="DZ302" s="399"/>
      <c r="EA302" s="399"/>
      <c r="EB302" s="399"/>
      <c r="EC302" s="399"/>
      <c r="ED302" s="399"/>
      <c r="EE302" s="399"/>
      <c r="EF302" s="399"/>
      <c r="EG302" s="399"/>
      <c r="EH302" s="399"/>
      <c r="EI302" s="399"/>
      <c r="EJ302" s="399"/>
      <c r="EK302" s="399"/>
      <c r="EL302" s="399"/>
      <c r="EM302" s="399"/>
      <c r="EN302" s="399"/>
      <c r="EO302" s="399"/>
      <c r="EP302" s="399"/>
      <c r="EQ302" s="399"/>
      <c r="ER302" s="399"/>
      <c r="ES302" s="399"/>
      <c r="ET302" s="399"/>
      <c r="EU302" s="399"/>
      <c r="EV302" s="399">
        <v>218</v>
      </c>
      <c r="EW302" s="399"/>
      <c r="EX302" s="399"/>
      <c r="EY302" s="399"/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956</v>
      </c>
      <c r="C303" s="399" t="s">
        <v>2328</v>
      </c>
      <c r="D303" s="399" t="s">
        <v>2335</v>
      </c>
      <c r="E303" s="399" t="s">
        <v>894</v>
      </c>
      <c r="F303" s="399" t="s">
        <v>2342</v>
      </c>
      <c r="G303" s="399" t="s">
        <v>2340</v>
      </c>
      <c r="H303" s="399" t="s">
        <v>1239</v>
      </c>
      <c r="I303" s="399" t="s">
        <v>1239</v>
      </c>
      <c r="J303" s="399" t="s">
        <v>2329</v>
      </c>
      <c r="K303" s="789">
        <v>44593</v>
      </c>
      <c r="L303" s="399">
        <v>0</v>
      </c>
      <c r="M303" s="399">
        <v>0</v>
      </c>
      <c r="N303" s="399">
        <v>11.526999999999999</v>
      </c>
      <c r="O303" s="399">
        <v>11.526999999999999</v>
      </c>
      <c r="P303" s="399">
        <v>11.526999999999999</v>
      </c>
      <c r="Q303" s="399">
        <v>11.526999999999999</v>
      </c>
      <c r="R303" s="399"/>
      <c r="S303" s="399">
        <v>521.86</v>
      </c>
      <c r="T303" s="399">
        <v>141.32</v>
      </c>
      <c r="U303" s="399"/>
      <c r="V303" s="399">
        <v>7644.4758599999996</v>
      </c>
      <c r="W303" s="399">
        <v>7644.4758599999996</v>
      </c>
      <c r="X303" s="399">
        <v>5974.7899099999995</v>
      </c>
      <c r="Y303" s="399">
        <v>0</v>
      </c>
      <c r="Z303" s="399">
        <v>699.42426882284997</v>
      </c>
      <c r="AA303" s="399">
        <v>0</v>
      </c>
      <c r="AB303" s="399">
        <v>0</v>
      </c>
      <c r="AC303" s="399">
        <v>0</v>
      </c>
      <c r="AD303" s="399">
        <v>1239.7726782274488</v>
      </c>
      <c r="AE303" s="399">
        <v>3745.7078123286269</v>
      </c>
      <c r="AF303" s="399">
        <v>1628.9833064787026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108.14622580660347</v>
      </c>
      <c r="AM303" s="399"/>
      <c r="AN303" s="399">
        <v>15.986412260424968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206.38975937275893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>
        <v>716.97939999999994</v>
      </c>
      <c r="BS303" s="399"/>
      <c r="BT303" s="399"/>
      <c r="BU303" s="399"/>
      <c r="BV303" s="399">
        <v>1835.3730658514614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5259.1788999999999</v>
      </c>
      <c r="CJ303" s="399">
        <v>-1467.8930300000002</v>
      </c>
      <c r="CK303" s="399"/>
      <c r="CL303" s="399"/>
      <c r="CM303" s="399"/>
      <c r="CN303" s="399"/>
      <c r="CO303" s="399">
        <v>-1669.68595</v>
      </c>
      <c r="CP303" s="399">
        <v>0</v>
      </c>
      <c r="CQ303" s="399">
        <v>29</v>
      </c>
      <c r="CR303" s="399">
        <v>-51.361284540203087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-5.9046692419622104</v>
      </c>
      <c r="DA303" s="399">
        <v>0</v>
      </c>
      <c r="DB303" s="399">
        <v>0</v>
      </c>
      <c r="DC303" s="399">
        <v>0</v>
      </c>
      <c r="DD303" s="399">
        <v>0</v>
      </c>
      <c r="DE303" s="399">
        <v>0</v>
      </c>
      <c r="DF303" s="399">
        <v>0</v>
      </c>
      <c r="DG303" s="399">
        <v>0</v>
      </c>
      <c r="DH303" s="399">
        <v>0</v>
      </c>
      <c r="DI303" s="399">
        <v>-39.408124134171544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-5.4038725026096728</v>
      </c>
      <c r="DP303" s="399">
        <v>-0.64461866145929392</v>
      </c>
      <c r="DQ303" s="399">
        <v>0</v>
      </c>
      <c r="DR303" s="399">
        <v>0</v>
      </c>
      <c r="DS303" s="399"/>
      <c r="DT303" s="399"/>
      <c r="DU303" s="399"/>
      <c r="DV303" s="399">
        <v>3745.7078123286269</v>
      </c>
      <c r="DW303" s="399">
        <v>0</v>
      </c>
      <c r="DX303" s="399">
        <v>0</v>
      </c>
      <c r="DY303" s="399">
        <v>-1669.68595</v>
      </c>
      <c r="DZ303" s="399">
        <v>0</v>
      </c>
      <c r="EA303" s="399">
        <v>0</v>
      </c>
      <c r="EB303" s="399">
        <v>0</v>
      </c>
      <c r="EC303" s="399">
        <v>-1618.2183821839749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218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2361</v>
      </c>
      <c r="C304" s="399" t="s">
        <v>2328</v>
      </c>
      <c r="D304" s="399" t="s">
        <v>2335</v>
      </c>
      <c r="E304" s="399" t="s">
        <v>894</v>
      </c>
      <c r="F304" s="399" t="s">
        <v>2342</v>
      </c>
      <c r="G304" s="399" t="s">
        <v>2340</v>
      </c>
      <c r="H304" s="399" t="s">
        <v>1239</v>
      </c>
      <c r="I304" s="399" t="s">
        <v>1239</v>
      </c>
      <c r="J304" s="399" t="s">
        <v>2329</v>
      </c>
      <c r="K304" s="789">
        <v>44593</v>
      </c>
      <c r="L304" s="399">
        <v>0</v>
      </c>
      <c r="M304" s="399">
        <v>0</v>
      </c>
      <c r="N304" s="399">
        <v>1.095</v>
      </c>
      <c r="O304" s="399">
        <v>1.095</v>
      </c>
      <c r="P304" s="399">
        <v>1.095</v>
      </c>
      <c r="Q304" s="399">
        <v>1.095</v>
      </c>
      <c r="R304" s="399"/>
      <c r="S304" s="399">
        <v>521.86</v>
      </c>
      <c r="T304" s="399">
        <v>141.32</v>
      </c>
      <c r="U304" s="399"/>
      <c r="V304" s="399">
        <v>726.18209999999999</v>
      </c>
      <c r="W304" s="399">
        <v>726.18209999999999</v>
      </c>
      <c r="X304" s="399">
        <v>567.57134999999994</v>
      </c>
      <c r="Y304" s="399">
        <v>0</v>
      </c>
      <c r="Z304" s="399">
        <v>66.44136153040867</v>
      </c>
      <c r="AA304" s="399">
        <v>0</v>
      </c>
      <c r="AB304" s="399">
        <v>0</v>
      </c>
      <c r="AC304" s="399">
        <v>0</v>
      </c>
      <c r="AD304" s="399">
        <v>117.77141343446313</v>
      </c>
      <c r="AE304" s="399">
        <v>355.8211203695538</v>
      </c>
      <c r="AF304" s="399">
        <v>154.74422838502468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10.273281622124648</v>
      </c>
      <c r="AM304" s="399"/>
      <c r="AN304" s="399">
        <v>1.518619018405946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19.605863322041387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/>
      <c r="BR304" s="399">
        <v>68.109000000000009</v>
      </c>
      <c r="BS304" s="399"/>
      <c r="BT304" s="399"/>
      <c r="BU304" s="399"/>
      <c r="BV304" s="399">
        <v>174.35009170706607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501.74300000000005</v>
      </c>
      <c r="CJ304" s="399">
        <v>-137.31804999999997</v>
      </c>
      <c r="CK304" s="399"/>
      <c r="CL304" s="399"/>
      <c r="CM304" s="399"/>
      <c r="CN304" s="399"/>
      <c r="CO304" s="399">
        <v>-158.61075000000002</v>
      </c>
      <c r="CP304" s="399">
        <v>0</v>
      </c>
      <c r="CQ304" s="399">
        <v>29</v>
      </c>
      <c r="CR304" s="399">
        <v>-4.8790324083909127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-0.56091028194227022</v>
      </c>
      <c r="DA304" s="399">
        <v>0</v>
      </c>
      <c r="DB304" s="399">
        <v>0</v>
      </c>
      <c r="DC304" s="399">
        <v>0</v>
      </c>
      <c r="DD304" s="399">
        <v>0</v>
      </c>
      <c r="DE304" s="399">
        <v>0</v>
      </c>
      <c r="DF304" s="399">
        <v>0</v>
      </c>
      <c r="DG304" s="399">
        <v>0</v>
      </c>
      <c r="DH304" s="399">
        <v>0</v>
      </c>
      <c r="DI304" s="399">
        <v>-3.7435495729086412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-0.51333741566388547</v>
      </c>
      <c r="DP304" s="399">
        <v>-6.1235137876110457E-2</v>
      </c>
      <c r="DQ304" s="399">
        <v>0</v>
      </c>
      <c r="DR304" s="399">
        <v>0</v>
      </c>
      <c r="DS304" s="399"/>
      <c r="DT304" s="399"/>
      <c r="DU304" s="399"/>
      <c r="DV304" s="399">
        <v>355.8211203695538</v>
      </c>
      <c r="DW304" s="399">
        <v>0</v>
      </c>
      <c r="DX304" s="399">
        <v>0</v>
      </c>
      <c r="DY304" s="399">
        <v>-158.61075</v>
      </c>
      <c r="DZ304" s="399">
        <v>0</v>
      </c>
      <c r="EA304" s="399">
        <v>0</v>
      </c>
      <c r="EB304" s="399">
        <v>0</v>
      </c>
      <c r="EC304" s="399">
        <v>-153.72162127973041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218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956</v>
      </c>
      <c r="C305" s="399" t="s">
        <v>2328</v>
      </c>
      <c r="D305" s="399" t="s">
        <v>2335</v>
      </c>
      <c r="E305" s="399" t="s">
        <v>894</v>
      </c>
      <c r="F305" s="399" t="s">
        <v>2342</v>
      </c>
      <c r="G305" s="399" t="s">
        <v>2341</v>
      </c>
      <c r="H305" s="399" t="s">
        <v>1239</v>
      </c>
      <c r="I305" s="399" t="s">
        <v>1239</v>
      </c>
      <c r="J305" s="399" t="s">
        <v>2329</v>
      </c>
      <c r="K305" s="789">
        <v>44593</v>
      </c>
      <c r="L305" s="399">
        <v>0</v>
      </c>
      <c r="M305" s="399">
        <v>0</v>
      </c>
      <c r="N305" s="399">
        <v>14.553000000000001</v>
      </c>
      <c r="O305" s="399">
        <v>5.8212000000000002</v>
      </c>
      <c r="P305" s="399">
        <v>14.553000000000001</v>
      </c>
      <c r="Q305" s="399">
        <v>5.8212000000000002</v>
      </c>
      <c r="R305" s="399"/>
      <c r="S305" s="399">
        <v>521.86</v>
      </c>
      <c r="T305" s="399">
        <v>141.32</v>
      </c>
      <c r="U305" s="399"/>
      <c r="V305" s="399">
        <v>9651.2585400000007</v>
      </c>
      <c r="W305" s="399">
        <v>9651.2585400000007</v>
      </c>
      <c r="X305" s="399">
        <v>7543.2564900000007</v>
      </c>
      <c r="Y305" s="399">
        <v>0</v>
      </c>
      <c r="Z305" s="399">
        <v>883.03299940825332</v>
      </c>
      <c r="AA305" s="399">
        <v>0</v>
      </c>
      <c r="AB305" s="399">
        <v>0</v>
      </c>
      <c r="AC305" s="399">
        <v>0</v>
      </c>
      <c r="AD305" s="399">
        <v>1565.2304837550155</v>
      </c>
      <c r="AE305" s="399">
        <v>4729.0089175690564</v>
      </c>
      <c r="AF305" s="399">
        <v>2056.6143887554927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136.53613465459361</v>
      </c>
      <c r="AM305" s="399"/>
      <c r="AN305" s="399">
        <v>20.183070844622591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260.56998075403499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>
        <v>4888.0325339999999</v>
      </c>
      <c r="BT305" s="399"/>
      <c r="BU305" s="399"/>
      <c r="BV305" s="399">
        <v>2317.1843695095276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2654.6765999999998</v>
      </c>
      <c r="CJ305" s="399">
        <v>-742.54750800000147</v>
      </c>
      <c r="CK305" s="399"/>
      <c r="CL305" s="399"/>
      <c r="CM305" s="399"/>
      <c r="CN305" s="399"/>
      <c r="CO305" s="399">
        <v>-2108.0020500000005</v>
      </c>
      <c r="CP305" s="399">
        <v>0</v>
      </c>
      <c r="CQ305" s="399">
        <v>29</v>
      </c>
      <c r="CR305" s="399">
        <v>-64.844345789325416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-7.4547281580876188</v>
      </c>
      <c r="DA305" s="399">
        <v>0</v>
      </c>
      <c r="DB305" s="399">
        <v>0</v>
      </c>
      <c r="DC305" s="399">
        <v>0</v>
      </c>
      <c r="DD305" s="399">
        <v>0</v>
      </c>
      <c r="DE305" s="399">
        <v>0</v>
      </c>
      <c r="DF305" s="399">
        <v>0</v>
      </c>
      <c r="DG305" s="399">
        <v>0</v>
      </c>
      <c r="DH305" s="399">
        <v>0</v>
      </c>
      <c r="DI305" s="399">
        <v>-49.753312268985724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-6.8224652147547999</v>
      </c>
      <c r="DP305" s="399">
        <v>-0.81384014749866651</v>
      </c>
      <c r="DQ305" s="399">
        <v>0</v>
      </c>
      <c r="DR305" s="399">
        <v>0</v>
      </c>
      <c r="DS305" s="399"/>
      <c r="DT305" s="399"/>
      <c r="DU305" s="399"/>
      <c r="DV305" s="399">
        <v>4729.0089175690564</v>
      </c>
      <c r="DW305" s="399">
        <v>0</v>
      </c>
      <c r="DX305" s="399">
        <v>0</v>
      </c>
      <c r="DY305" s="399">
        <v>-2108.0020500000001</v>
      </c>
      <c r="DZ305" s="399">
        <v>0</v>
      </c>
      <c r="EA305" s="399">
        <v>0</v>
      </c>
      <c r="EB305" s="399">
        <v>0</v>
      </c>
      <c r="EC305" s="399">
        <v>-2043.0235200766365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218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2361</v>
      </c>
      <c r="C306" s="399" t="s">
        <v>2328</v>
      </c>
      <c r="D306" s="399" t="s">
        <v>2335</v>
      </c>
      <c r="E306" s="399" t="s">
        <v>894</v>
      </c>
      <c r="F306" s="399" t="s">
        <v>2342</v>
      </c>
      <c r="G306" s="399" t="s">
        <v>2341</v>
      </c>
      <c r="H306" s="399" t="s">
        <v>1239</v>
      </c>
      <c r="I306" s="399" t="s">
        <v>1239</v>
      </c>
      <c r="J306" s="399" t="s">
        <v>2329</v>
      </c>
      <c r="K306" s="789">
        <v>44593</v>
      </c>
      <c r="L306" s="399">
        <v>0</v>
      </c>
      <c r="M306" s="399">
        <v>0</v>
      </c>
      <c r="N306" s="399">
        <v>3.141</v>
      </c>
      <c r="O306" s="399">
        <v>1.2564</v>
      </c>
      <c r="P306" s="399">
        <v>3.141</v>
      </c>
      <c r="Q306" s="399">
        <v>1.2564</v>
      </c>
      <c r="R306" s="399"/>
      <c r="S306" s="399">
        <v>521.86</v>
      </c>
      <c r="T306" s="399">
        <v>141.32</v>
      </c>
      <c r="U306" s="399"/>
      <c r="V306" s="399">
        <v>2083.0483800000002</v>
      </c>
      <c r="W306" s="399">
        <v>2083.0483800000002</v>
      </c>
      <c r="X306" s="399">
        <v>1628.0745299999999</v>
      </c>
      <c r="Y306" s="399">
        <v>0</v>
      </c>
      <c r="Z306" s="399">
        <v>190.58659047215858</v>
      </c>
      <c r="AA306" s="399">
        <v>0</v>
      </c>
      <c r="AB306" s="399">
        <v>0</v>
      </c>
      <c r="AC306" s="399">
        <v>0</v>
      </c>
      <c r="AD306" s="399">
        <v>337.82649278324078</v>
      </c>
      <c r="AE306" s="399">
        <v>1020.6704466491037</v>
      </c>
      <c r="AF306" s="399">
        <v>443.88275923046808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29.468837968121935</v>
      </c>
      <c r="AM306" s="399"/>
      <c r="AN306" s="399">
        <v>4.3561482527973308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56.239284652540633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>
        <v>1054.992798</v>
      </c>
      <c r="BT306" s="399"/>
      <c r="BU306" s="399"/>
      <c r="BV306" s="399">
        <v>500.1220438830087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574.72379999999998</v>
      </c>
      <c r="CJ306" s="399">
        <v>-158.52867600000002</v>
      </c>
      <c r="CK306" s="399"/>
      <c r="CL306" s="399"/>
      <c r="CM306" s="399"/>
      <c r="CN306" s="399"/>
      <c r="CO306" s="399">
        <v>-454.97385000000008</v>
      </c>
      <c r="CP306" s="399">
        <v>0</v>
      </c>
      <c r="CQ306" s="399">
        <v>29</v>
      </c>
      <c r="CR306" s="399">
        <v>-13.995471045439217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-1.6089673019001225</v>
      </c>
      <c r="DA306" s="399">
        <v>0</v>
      </c>
      <c r="DB306" s="399">
        <v>0</v>
      </c>
      <c r="DC306" s="399">
        <v>0</v>
      </c>
      <c r="DD306" s="399">
        <v>0</v>
      </c>
      <c r="DE306" s="399">
        <v>0</v>
      </c>
      <c r="DF306" s="399">
        <v>0</v>
      </c>
      <c r="DG306" s="399">
        <v>0</v>
      </c>
      <c r="DH306" s="399">
        <v>0</v>
      </c>
      <c r="DI306" s="399">
        <v>-10.738346309137938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-1.4725048608221591</v>
      </c>
      <c r="DP306" s="399">
        <v>-0.17565257357887099</v>
      </c>
      <c r="DQ306" s="399">
        <v>0</v>
      </c>
      <c r="DR306" s="399">
        <v>0</v>
      </c>
      <c r="DS306" s="399"/>
      <c r="DT306" s="399"/>
      <c r="DU306" s="399"/>
      <c r="DV306" s="399">
        <v>1020.6704466491037</v>
      </c>
      <c r="DW306" s="399">
        <v>0</v>
      </c>
      <c r="DX306" s="399">
        <v>0</v>
      </c>
      <c r="DY306" s="399">
        <v>-454.97385000000008</v>
      </c>
      <c r="DZ306" s="399">
        <v>0</v>
      </c>
      <c r="EA306" s="399">
        <v>0</v>
      </c>
      <c r="EB306" s="399">
        <v>0</v>
      </c>
      <c r="EC306" s="399">
        <v>-440.94941775308985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218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956</v>
      </c>
      <c r="C307" s="399" t="s">
        <v>2328</v>
      </c>
      <c r="D307" s="399" t="s">
        <v>1823</v>
      </c>
      <c r="E307" s="399" t="s">
        <v>889</v>
      </c>
      <c r="F307" s="399" t="s">
        <v>889</v>
      </c>
      <c r="G307" s="399" t="s">
        <v>1239</v>
      </c>
      <c r="H307" s="399" t="s">
        <v>1239</v>
      </c>
      <c r="I307" s="399" t="s">
        <v>1239</v>
      </c>
      <c r="J307" s="399" t="s">
        <v>2329</v>
      </c>
      <c r="K307" s="789">
        <v>44621</v>
      </c>
      <c r="L307" s="399">
        <v>0</v>
      </c>
      <c r="M307" s="399">
        <v>0</v>
      </c>
      <c r="N307" s="399">
        <v>1057.711</v>
      </c>
      <c r="O307" s="399">
        <v>1057.711</v>
      </c>
      <c r="P307" s="399">
        <v>1057.711</v>
      </c>
      <c r="Q307" s="399">
        <v>1057.711</v>
      </c>
      <c r="R307" s="399"/>
      <c r="S307" s="399">
        <v>521.86</v>
      </c>
      <c r="T307" s="399">
        <v>141.32</v>
      </c>
      <c r="U307" s="399"/>
      <c r="V307" s="399">
        <v>701452.78098000004</v>
      </c>
      <c r="W307" s="399">
        <v>701452.78098000004</v>
      </c>
      <c r="X307" s="399">
        <v>548243.34262999997</v>
      </c>
      <c r="Y307" s="399">
        <v>0</v>
      </c>
      <c r="Z307" s="399">
        <v>64178.775292867656</v>
      </c>
      <c r="AA307" s="399">
        <v>0</v>
      </c>
      <c r="AB307" s="399">
        <v>0</v>
      </c>
      <c r="AC307" s="399">
        <v>0</v>
      </c>
      <c r="AD307" s="399">
        <v>113760.83970336021</v>
      </c>
      <c r="AE307" s="399">
        <v>343704.03018009238</v>
      </c>
      <c r="AF307" s="399">
        <v>149474.58680306197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9923.4365094238201</v>
      </c>
      <c r="AM307" s="399"/>
      <c r="AN307" s="399">
        <v>1466.9041466458189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18938.207580109331</v>
      </c>
      <c r="BH307" s="399">
        <v>0</v>
      </c>
      <c r="BI307" s="399">
        <v>4688.13</v>
      </c>
      <c r="BJ307" s="399">
        <v>21744.2</v>
      </c>
      <c r="BK307" s="399">
        <v>159487.32999999999</v>
      </c>
      <c r="BL307" s="399">
        <v>4846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168412.79438317131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548242.82429999998</v>
      </c>
      <c r="CJ307" s="399">
        <v>-153209.98668000009</v>
      </c>
      <c r="CK307" s="399"/>
      <c r="CL307" s="399"/>
      <c r="CM307" s="399"/>
      <c r="CN307" s="399"/>
      <c r="CO307" s="399">
        <v>-153209.43835000004</v>
      </c>
      <c r="CP307" s="399">
        <v>0</v>
      </c>
      <c r="CQ307" s="399">
        <v>31</v>
      </c>
      <c r="CR307" s="399">
        <v>-4712.8824180013617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-541.80910979310283</v>
      </c>
      <c r="DA307" s="399">
        <v>0</v>
      </c>
      <c r="DB307" s="399">
        <v>0</v>
      </c>
      <c r="DC307" s="399">
        <v>0</v>
      </c>
      <c r="DD307" s="399">
        <v>0</v>
      </c>
      <c r="DE307" s="399">
        <v>0</v>
      </c>
      <c r="DF307" s="399">
        <v>0</v>
      </c>
      <c r="DG307" s="399">
        <v>0</v>
      </c>
      <c r="DH307" s="399">
        <v>0</v>
      </c>
      <c r="DI307" s="399">
        <v>-3616.0671801924764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-495.85628425503455</v>
      </c>
      <c r="DP307" s="399">
        <v>-59.149843760802469</v>
      </c>
      <c r="DQ307" s="399">
        <v>0</v>
      </c>
      <c r="DR307" s="399">
        <v>0</v>
      </c>
      <c r="DS307" s="399"/>
      <c r="DT307" s="399"/>
      <c r="DU307" s="399"/>
      <c r="DV307" s="399">
        <v>343704.03018009238</v>
      </c>
      <c r="DW307" s="399">
        <v>0</v>
      </c>
      <c r="DX307" s="399">
        <v>0</v>
      </c>
      <c r="DY307" s="399">
        <v>-153209.43835000007</v>
      </c>
      <c r="DZ307" s="399">
        <v>0</v>
      </c>
      <c r="EA307" s="399">
        <v>0</v>
      </c>
      <c r="EB307" s="399">
        <v>0</v>
      </c>
      <c r="EC307" s="399">
        <v>-148486.803438726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218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2360</v>
      </c>
      <c r="C308" s="399" t="s">
        <v>2328</v>
      </c>
      <c r="D308" s="399" t="s">
        <v>1823</v>
      </c>
      <c r="E308" s="399" t="s">
        <v>889</v>
      </c>
      <c r="F308" s="399" t="s">
        <v>889</v>
      </c>
      <c r="G308" s="399" t="s">
        <v>1239</v>
      </c>
      <c r="H308" s="399" t="s">
        <v>1239</v>
      </c>
      <c r="I308" s="399" t="s">
        <v>1239</v>
      </c>
      <c r="J308" s="399" t="s">
        <v>2329</v>
      </c>
      <c r="K308" s="789">
        <v>44621</v>
      </c>
      <c r="L308" s="399">
        <v>0</v>
      </c>
      <c r="M308" s="399">
        <v>0</v>
      </c>
      <c r="N308" s="399">
        <v>-2.4889999999999999</v>
      </c>
      <c r="O308" s="399">
        <v>-2.4889999999999999</v>
      </c>
      <c r="P308" s="399">
        <v>-2.4889999999999999</v>
      </c>
      <c r="Q308" s="399">
        <v>-2.4889999999999999</v>
      </c>
      <c r="R308" s="399"/>
      <c r="S308" s="399">
        <v>521.86</v>
      </c>
      <c r="T308" s="399">
        <v>141.32</v>
      </c>
      <c r="U308" s="399"/>
      <c r="V308" s="399">
        <v>-1650.6550199999999</v>
      </c>
      <c r="W308" s="399">
        <v>-1650.6550199999999</v>
      </c>
      <c r="X308" s="399">
        <v>-1290.12337</v>
      </c>
      <c r="Y308" s="399">
        <v>0</v>
      </c>
      <c r="Z308" s="399">
        <v>-151.02515876638097</v>
      </c>
      <c r="AA308" s="399">
        <v>0</v>
      </c>
      <c r="AB308" s="399">
        <v>0</v>
      </c>
      <c r="AC308" s="399">
        <v>0</v>
      </c>
      <c r="AD308" s="399">
        <v>-267.7014137336792</v>
      </c>
      <c r="AE308" s="399">
        <v>-808.80252840166156</v>
      </c>
      <c r="AF308" s="399">
        <v>-351.74281684961318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-23.351778956592007</v>
      </c>
      <c r="AM308" s="399"/>
      <c r="AN308" s="399">
        <v>-3.4519111751711415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-44.565291149370786</v>
      </c>
      <c r="BH308" s="399">
        <v>0</v>
      </c>
      <c r="BI308" s="399">
        <v>-11.08</v>
      </c>
      <c r="BJ308" s="399">
        <v>-51.17</v>
      </c>
      <c r="BK308" s="399">
        <v>-551.73</v>
      </c>
      <c r="BL308" s="399">
        <v>0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-396.30810799898398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-1290.6417000000001</v>
      </c>
      <c r="CJ308" s="399">
        <v>359.98331999999982</v>
      </c>
      <c r="CK308" s="399"/>
      <c r="CL308" s="399"/>
      <c r="CM308" s="399"/>
      <c r="CN308" s="399"/>
      <c r="CO308" s="399">
        <v>360.53165000000001</v>
      </c>
      <c r="CP308" s="399">
        <v>0</v>
      </c>
      <c r="CQ308" s="399">
        <v>31</v>
      </c>
      <c r="CR308" s="399">
        <v>11.090330287200914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1.2749823668989393</v>
      </c>
      <c r="DA308" s="399">
        <v>0</v>
      </c>
      <c r="DB308" s="399">
        <v>0</v>
      </c>
      <c r="DC308" s="399">
        <v>0</v>
      </c>
      <c r="DD308" s="399">
        <v>0</v>
      </c>
      <c r="DE308" s="399">
        <v>0</v>
      </c>
      <c r="DF308" s="399">
        <v>0</v>
      </c>
      <c r="DG308" s="399">
        <v>0</v>
      </c>
      <c r="DH308" s="399">
        <v>0</v>
      </c>
      <c r="DI308" s="399">
        <v>8.5093103990589896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1.1668464178880456</v>
      </c>
      <c r="DP308" s="399">
        <v>0.1391911033549218</v>
      </c>
      <c r="DQ308" s="399">
        <v>0</v>
      </c>
      <c r="DR308" s="399">
        <v>0</v>
      </c>
      <c r="DS308" s="399"/>
      <c r="DT308" s="399"/>
      <c r="DU308" s="399"/>
      <c r="DV308" s="399">
        <v>-808.80252840166156</v>
      </c>
      <c r="DW308" s="399">
        <v>0</v>
      </c>
      <c r="DX308" s="399">
        <v>0</v>
      </c>
      <c r="DY308" s="399">
        <v>360.5316499999999</v>
      </c>
      <c r="DZ308" s="399">
        <v>0</v>
      </c>
      <c r="EA308" s="399">
        <v>0</v>
      </c>
      <c r="EB308" s="399">
        <v>0</v>
      </c>
      <c r="EC308" s="399">
        <v>349.41837019657447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218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2361</v>
      </c>
      <c r="C309" s="399" t="s">
        <v>2328</v>
      </c>
      <c r="D309" s="399" t="s">
        <v>1823</v>
      </c>
      <c r="E309" s="399" t="s">
        <v>889</v>
      </c>
      <c r="F309" s="399" t="s">
        <v>889</v>
      </c>
      <c r="G309" s="399" t="s">
        <v>1239</v>
      </c>
      <c r="H309" s="399" t="s">
        <v>1239</v>
      </c>
      <c r="I309" s="399" t="s">
        <v>1239</v>
      </c>
      <c r="J309" s="399" t="s">
        <v>2329</v>
      </c>
      <c r="K309" s="789">
        <v>44621</v>
      </c>
      <c r="L309" s="399">
        <v>0</v>
      </c>
      <c r="M309" s="399">
        <v>0</v>
      </c>
      <c r="N309" s="399">
        <v>27.885000000000002</v>
      </c>
      <c r="O309" s="399">
        <v>27.885000000000002</v>
      </c>
      <c r="P309" s="399">
        <v>27.885000000000002</v>
      </c>
      <c r="Q309" s="399">
        <v>27.885000000000002</v>
      </c>
      <c r="R309" s="399"/>
      <c r="S309" s="399">
        <v>521.86</v>
      </c>
      <c r="T309" s="399">
        <v>141.32</v>
      </c>
      <c r="U309" s="399"/>
      <c r="V309" s="399">
        <v>18492.774300000001</v>
      </c>
      <c r="W309" s="399">
        <v>18492.774300000001</v>
      </c>
      <c r="X309" s="399">
        <v>14453.63205</v>
      </c>
      <c r="Y309" s="399">
        <v>0</v>
      </c>
      <c r="Z309" s="399">
        <v>1691.979329931914</v>
      </c>
      <c r="AA309" s="399">
        <v>0</v>
      </c>
      <c r="AB309" s="399">
        <v>0</v>
      </c>
      <c r="AC309" s="399">
        <v>0</v>
      </c>
      <c r="AD309" s="399">
        <v>2999.1377749954377</v>
      </c>
      <c r="AE309" s="399">
        <v>9061.252914616447</v>
      </c>
      <c r="AF309" s="399">
        <v>3940.67836394193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261.61685665109206</v>
      </c>
      <c r="AM309" s="399"/>
      <c r="AN309" s="399">
        <v>38.672777468721286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499.27808103664302</v>
      </c>
      <c r="BH309" s="399">
        <v>0</v>
      </c>
      <c r="BI309" s="399">
        <v>123.74</v>
      </c>
      <c r="BJ309" s="399">
        <v>573.16999999999996</v>
      </c>
      <c r="BK309" s="399">
        <v>9846.09</v>
      </c>
      <c r="BL309" s="399">
        <v>122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4439.956444978573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14456.2237</v>
      </c>
      <c r="CJ309" s="399">
        <v>-4036.5805999999993</v>
      </c>
      <c r="CK309" s="399"/>
      <c r="CL309" s="399"/>
      <c r="CM309" s="399"/>
      <c r="CN309" s="399"/>
      <c r="CO309" s="399">
        <v>-4039.1422500000008</v>
      </c>
      <c r="CP309" s="399">
        <v>0</v>
      </c>
      <c r="CQ309" s="399">
        <v>31</v>
      </c>
      <c r="CR309" s="399">
        <v>-124.2482362629944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-14.284002933296961</v>
      </c>
      <c r="DA309" s="399">
        <v>0</v>
      </c>
      <c r="DB309" s="399">
        <v>0</v>
      </c>
      <c r="DC309" s="399">
        <v>0</v>
      </c>
      <c r="DD309" s="399">
        <v>0</v>
      </c>
      <c r="DE309" s="399">
        <v>0</v>
      </c>
      <c r="DF309" s="399">
        <v>0</v>
      </c>
      <c r="DG309" s="399">
        <v>0</v>
      </c>
      <c r="DH309" s="399">
        <v>0</v>
      </c>
      <c r="DI309" s="399">
        <v>-95.332310356673361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-13.072524050947436</v>
      </c>
      <c r="DP309" s="399">
        <v>-1.5593989220779392</v>
      </c>
      <c r="DQ309" s="399">
        <v>0</v>
      </c>
      <c r="DR309" s="399">
        <v>0</v>
      </c>
      <c r="DS309" s="399"/>
      <c r="DT309" s="399"/>
      <c r="DU309" s="399"/>
      <c r="DV309" s="399">
        <v>9061.252914616447</v>
      </c>
      <c r="DW309" s="399">
        <v>0</v>
      </c>
      <c r="DX309" s="399">
        <v>0</v>
      </c>
      <c r="DY309" s="399">
        <v>-4039.1422500000008</v>
      </c>
      <c r="DZ309" s="399">
        <v>0</v>
      </c>
      <c r="EA309" s="399">
        <v>0</v>
      </c>
      <c r="EB309" s="399">
        <v>0</v>
      </c>
      <c r="EC309" s="399">
        <v>-3914.6369035482048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218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2361</v>
      </c>
      <c r="C310" s="399" t="s">
        <v>2328</v>
      </c>
      <c r="D310" s="399" t="s">
        <v>1823</v>
      </c>
      <c r="E310" s="399" t="s">
        <v>889</v>
      </c>
      <c r="F310" s="399" t="s">
        <v>889</v>
      </c>
      <c r="G310" s="399" t="s">
        <v>1239</v>
      </c>
      <c r="H310" s="399" t="s">
        <v>1239</v>
      </c>
      <c r="I310" s="399" t="s">
        <v>1239</v>
      </c>
      <c r="J310" s="399" t="s">
        <v>2329</v>
      </c>
      <c r="K310" s="789">
        <v>44621</v>
      </c>
      <c r="L310" s="399">
        <v>0</v>
      </c>
      <c r="M310" s="399">
        <v>0</v>
      </c>
      <c r="N310" s="399">
        <v>-7.0000000000000007E-2</v>
      </c>
      <c r="O310" s="399">
        <v>-7.0000000000000007E-2</v>
      </c>
      <c r="P310" s="399">
        <v>-7.0000000000000007E-2</v>
      </c>
      <c r="Q310" s="399">
        <v>-7.0000000000000007E-2</v>
      </c>
      <c r="R310" s="399"/>
      <c r="S310" s="399">
        <v>521.86</v>
      </c>
      <c r="T310" s="399">
        <v>141.32</v>
      </c>
      <c r="U310" s="399"/>
      <c r="V310" s="399">
        <v>-46.42260000000001</v>
      </c>
      <c r="W310" s="399">
        <v>-46.42260000000001</v>
      </c>
      <c r="X310" s="399">
        <v>-36.283100000000005</v>
      </c>
      <c r="Y310" s="399">
        <v>0</v>
      </c>
      <c r="Z310" s="399">
        <v>-4.2473929745466732</v>
      </c>
      <c r="AA310" s="399">
        <v>0</v>
      </c>
      <c r="AB310" s="399">
        <v>0</v>
      </c>
      <c r="AC310" s="399">
        <v>0</v>
      </c>
      <c r="AD310" s="399">
        <v>-7.5287661556277801</v>
      </c>
      <c r="AE310" s="399">
        <v>-22.746555640062802</v>
      </c>
      <c r="AF310" s="399">
        <v>-9.8923251022390222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-0.65673946442805975</v>
      </c>
      <c r="AM310" s="399"/>
      <c r="AN310" s="399">
        <v>-9.7080667843302507E-2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-1.2533428607697692</v>
      </c>
      <c r="BH310" s="399">
        <v>0</v>
      </c>
      <c r="BI310" s="399">
        <v>-0.31</v>
      </c>
      <c r="BJ310" s="399">
        <v>-1.45</v>
      </c>
      <c r="BK310" s="399">
        <v>-13.97</v>
      </c>
      <c r="BL310" s="399">
        <v>2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-11.14566796300879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-36.283100000000005</v>
      </c>
      <c r="CJ310" s="399">
        <v>10.109500000000011</v>
      </c>
      <c r="CK310" s="399"/>
      <c r="CL310" s="399"/>
      <c r="CM310" s="399"/>
      <c r="CN310" s="399"/>
      <c r="CO310" s="399">
        <v>10.139500000000002</v>
      </c>
      <c r="CP310" s="399">
        <v>0</v>
      </c>
      <c r="CQ310" s="399">
        <v>31</v>
      </c>
      <c r="CR310" s="399">
        <v>0.31190161514827608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3.5857278297679152E-2</v>
      </c>
      <c r="DA310" s="399">
        <v>0</v>
      </c>
      <c r="DB310" s="399">
        <v>0</v>
      </c>
      <c r="DC310" s="399">
        <v>0</v>
      </c>
      <c r="DD310" s="399">
        <v>0</v>
      </c>
      <c r="DE310" s="399">
        <v>0</v>
      </c>
      <c r="DF310" s="399">
        <v>0</v>
      </c>
      <c r="DG310" s="399">
        <v>0</v>
      </c>
      <c r="DH310" s="399">
        <v>0</v>
      </c>
      <c r="DI310" s="399">
        <v>0.23931367132749237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3.2816090499061201E-2</v>
      </c>
      <c r="DP310" s="399">
        <v>3.9145750240436039E-3</v>
      </c>
      <c r="DQ310" s="399">
        <v>0</v>
      </c>
      <c r="DR310" s="399">
        <v>0</v>
      </c>
      <c r="DS310" s="399"/>
      <c r="DT310" s="399"/>
      <c r="DU310" s="399"/>
      <c r="DV310" s="399">
        <v>-22.746555640062802</v>
      </c>
      <c r="DW310" s="399">
        <v>0</v>
      </c>
      <c r="DX310" s="399">
        <v>0</v>
      </c>
      <c r="DY310" s="399">
        <v>10.139500000000005</v>
      </c>
      <c r="DZ310" s="399">
        <v>0</v>
      </c>
      <c r="EA310" s="399">
        <v>0</v>
      </c>
      <c r="EB310" s="399">
        <v>0</v>
      </c>
      <c r="EC310" s="399">
        <v>9.8269529585215807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218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956</v>
      </c>
      <c r="C311" s="399" t="s">
        <v>2328</v>
      </c>
      <c r="D311" s="399" t="s">
        <v>1823</v>
      </c>
      <c r="E311" s="399" t="s">
        <v>889</v>
      </c>
      <c r="F311" s="399" t="s">
        <v>2330</v>
      </c>
      <c r="G311" s="399" t="s">
        <v>1239</v>
      </c>
      <c r="H311" s="399" t="s">
        <v>1239</v>
      </c>
      <c r="I311" s="399" t="s">
        <v>1239</v>
      </c>
      <c r="J311" s="399" t="s">
        <v>2329</v>
      </c>
      <c r="K311" s="789">
        <v>44621</v>
      </c>
      <c r="L311" s="399">
        <v>0</v>
      </c>
      <c r="M311" s="399">
        <v>0</v>
      </c>
      <c r="N311" s="399">
        <v>2.34</v>
      </c>
      <c r="O311" s="399">
        <v>2.34</v>
      </c>
      <c r="P311" s="399">
        <v>2.34</v>
      </c>
      <c r="Q311" s="399">
        <v>2.34</v>
      </c>
      <c r="R311" s="399"/>
      <c r="S311" s="399">
        <v>451.8</v>
      </c>
      <c r="T311" s="399">
        <v>141.32</v>
      </c>
      <c r="U311" s="399"/>
      <c r="V311" s="399">
        <v>1387.9007999999999</v>
      </c>
      <c r="W311" s="399">
        <v>1387.9007999999999</v>
      </c>
      <c r="X311" s="399">
        <v>1058.0543999999998</v>
      </c>
      <c r="Y311" s="399">
        <v>0</v>
      </c>
      <c r="Z311" s="399">
        <v>0</v>
      </c>
      <c r="AA311" s="399">
        <v>0</v>
      </c>
      <c r="AB311" s="399">
        <v>0</v>
      </c>
      <c r="AC311" s="399">
        <v>0</v>
      </c>
      <c r="AD311" s="399">
        <v>251.67589720241435</v>
      </c>
      <c r="AE311" s="399">
        <v>760.38485996781355</v>
      </c>
      <c r="AF311" s="399">
        <v>330.68629627484728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0</v>
      </c>
      <c r="AM311" s="399"/>
      <c r="AN311" s="399">
        <v>3.2452680393332547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41.897461345732275</v>
      </c>
      <c r="BH311" s="399">
        <v>0</v>
      </c>
      <c r="BI311" s="399">
        <v>7.8</v>
      </c>
      <c r="BJ311" s="399">
        <v>37.44</v>
      </c>
      <c r="BK311" s="399">
        <v>56.16</v>
      </c>
      <c r="BL311" s="399">
        <v>0</v>
      </c>
      <c r="BM311" s="399"/>
      <c r="BN311" s="399"/>
      <c r="BO311" s="399"/>
      <c r="BP311" s="399"/>
      <c r="BQ311" s="399"/>
      <c r="BR311" s="399"/>
      <c r="BS311" s="399"/>
      <c r="BT311" s="399">
        <v>687.72599999999989</v>
      </c>
      <c r="BU311" s="399"/>
      <c r="BV311" s="399">
        <v>372.58375762057955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370.32839999999999</v>
      </c>
      <c r="CJ311" s="399">
        <v>-115.46219999999994</v>
      </c>
      <c r="CK311" s="399"/>
      <c r="CL311" s="399"/>
      <c r="CM311" s="399"/>
      <c r="CN311" s="399"/>
      <c r="CO311" s="399">
        <v>-329.84640000000007</v>
      </c>
      <c r="CP311" s="399">
        <v>0</v>
      </c>
      <c r="CQ311" s="399">
        <v>31</v>
      </c>
      <c r="CR311" s="399">
        <v>-1.3295162396118485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-1.1986575888081461</v>
      </c>
      <c r="DA311" s="399">
        <v>0</v>
      </c>
      <c r="DB311" s="399">
        <v>0</v>
      </c>
      <c r="DC311" s="399">
        <v>0</v>
      </c>
      <c r="DD311" s="399">
        <v>0</v>
      </c>
      <c r="DE311" s="399">
        <v>0</v>
      </c>
      <c r="DF311" s="399">
        <v>0</v>
      </c>
      <c r="DG311" s="399">
        <v>0</v>
      </c>
      <c r="DH311" s="399">
        <v>0</v>
      </c>
      <c r="DI311" s="399">
        <v>0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0</v>
      </c>
      <c r="DP311" s="399">
        <v>-0.13085865080374326</v>
      </c>
      <c r="DQ311" s="399">
        <v>0</v>
      </c>
      <c r="DR311" s="399">
        <v>0</v>
      </c>
      <c r="DS311" s="399"/>
      <c r="DT311" s="399"/>
      <c r="DU311" s="399"/>
      <c r="DV311" s="399">
        <v>760.38485996781355</v>
      </c>
      <c r="DW311" s="399">
        <v>0</v>
      </c>
      <c r="DX311" s="399">
        <v>0</v>
      </c>
      <c r="DY311" s="399">
        <v>-329.84640000000013</v>
      </c>
      <c r="DZ311" s="399">
        <v>0</v>
      </c>
      <c r="EA311" s="399">
        <v>0</v>
      </c>
      <c r="EB311" s="399">
        <v>0</v>
      </c>
      <c r="EC311" s="399">
        <v>-328.50099889914992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218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2361</v>
      </c>
      <c r="C312" s="399" t="s">
        <v>2328</v>
      </c>
      <c r="D312" s="399" t="s">
        <v>1823</v>
      </c>
      <c r="E312" s="399" t="s">
        <v>889</v>
      </c>
      <c r="F312" s="399" t="s">
        <v>2330</v>
      </c>
      <c r="G312" s="399" t="s">
        <v>1239</v>
      </c>
      <c r="H312" s="399" t="s">
        <v>1239</v>
      </c>
      <c r="I312" s="399" t="s">
        <v>1239</v>
      </c>
      <c r="J312" s="399" t="s">
        <v>2329</v>
      </c>
      <c r="K312" s="789">
        <v>44621</v>
      </c>
      <c r="L312" s="399">
        <v>0</v>
      </c>
      <c r="M312" s="399">
        <v>0</v>
      </c>
      <c r="N312" s="399">
        <v>0</v>
      </c>
      <c r="O312" s="399">
        <v>0</v>
      </c>
      <c r="P312" s="399">
        <v>0</v>
      </c>
      <c r="Q312" s="399">
        <v>0</v>
      </c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>
        <v>0</v>
      </c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>
        <v>0</v>
      </c>
      <c r="BA312" s="399"/>
      <c r="BB312" s="399"/>
      <c r="BC312" s="399"/>
      <c r="BD312" s="399"/>
      <c r="BE312" s="399"/>
      <c r="BF312" s="399"/>
      <c r="BG312" s="399"/>
      <c r="BH312" s="399"/>
      <c r="BI312" s="399">
        <v>0</v>
      </c>
      <c r="BJ312" s="399">
        <v>0</v>
      </c>
      <c r="BK312" s="399">
        <v>0.44</v>
      </c>
      <c r="BL312" s="399">
        <v>0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/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/>
      <c r="CJ312" s="399">
        <v>-0.03</v>
      </c>
      <c r="CK312" s="399"/>
      <c r="CL312" s="399"/>
      <c r="CM312" s="399"/>
      <c r="CN312" s="399"/>
      <c r="CO312" s="399">
        <v>0</v>
      </c>
      <c r="CP312" s="399">
        <v>0</v>
      </c>
      <c r="CQ312" s="399">
        <v>31</v>
      </c>
      <c r="CR312" s="399"/>
      <c r="CS312" s="399"/>
      <c r="CT312" s="399"/>
      <c r="CU312" s="399"/>
      <c r="CV312" s="399"/>
      <c r="CW312" s="399"/>
      <c r="CX312" s="399"/>
      <c r="CY312" s="399"/>
      <c r="CZ312" s="399"/>
      <c r="DA312" s="399"/>
      <c r="DB312" s="399"/>
      <c r="DC312" s="399"/>
      <c r="DD312" s="399"/>
      <c r="DE312" s="399"/>
      <c r="DF312" s="399"/>
      <c r="DG312" s="399"/>
      <c r="DH312" s="399"/>
      <c r="DI312" s="399"/>
      <c r="DJ312" s="399"/>
      <c r="DK312" s="399">
        <v>0</v>
      </c>
      <c r="DL312" s="399"/>
      <c r="DM312" s="399"/>
      <c r="DN312" s="399"/>
      <c r="DO312" s="399"/>
      <c r="DP312" s="399"/>
      <c r="DQ312" s="399"/>
      <c r="DR312" s="399"/>
      <c r="DS312" s="399"/>
      <c r="DT312" s="399"/>
      <c r="DU312" s="399"/>
      <c r="DV312" s="399"/>
      <c r="DW312" s="399"/>
      <c r="DX312" s="399"/>
      <c r="DY312" s="399"/>
      <c r="DZ312" s="399"/>
      <c r="EA312" s="399"/>
      <c r="EB312" s="399"/>
      <c r="EC312" s="399"/>
      <c r="ED312" s="399"/>
      <c r="EE312" s="399"/>
      <c r="EF312" s="399"/>
      <c r="EG312" s="399"/>
      <c r="EH312" s="399"/>
      <c r="EI312" s="399"/>
      <c r="EJ312" s="399"/>
      <c r="EK312" s="399"/>
      <c r="EL312" s="399"/>
      <c r="EM312" s="399"/>
      <c r="EN312" s="399"/>
      <c r="EO312" s="399"/>
      <c r="EP312" s="399"/>
      <c r="EQ312" s="399"/>
      <c r="ER312" s="399"/>
      <c r="ES312" s="399"/>
      <c r="ET312" s="399"/>
      <c r="EU312" s="399"/>
      <c r="EV312" s="399">
        <v>218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956</v>
      </c>
      <c r="C313" s="399" t="s">
        <v>2328</v>
      </c>
      <c r="D313" s="399" t="s">
        <v>1823</v>
      </c>
      <c r="E313" s="399" t="s">
        <v>889</v>
      </c>
      <c r="F313" s="399" t="s">
        <v>2331</v>
      </c>
      <c r="G313" s="399" t="s">
        <v>1239</v>
      </c>
      <c r="H313" s="399" t="s">
        <v>1239</v>
      </c>
      <c r="I313" s="399" t="s">
        <v>1239</v>
      </c>
      <c r="J313" s="399" t="s">
        <v>2329</v>
      </c>
      <c r="K313" s="789">
        <v>44621</v>
      </c>
      <c r="L313" s="399">
        <v>0</v>
      </c>
      <c r="M313" s="399">
        <v>0</v>
      </c>
      <c r="N313" s="399">
        <v>4.8440000000000003</v>
      </c>
      <c r="O313" s="399">
        <v>4.8440000000000003</v>
      </c>
      <c r="P313" s="399">
        <v>4.8440000000000003</v>
      </c>
      <c r="Q313" s="399">
        <v>4.8440000000000003</v>
      </c>
      <c r="R313" s="399"/>
      <c r="S313" s="399">
        <v>451.8</v>
      </c>
      <c r="T313" s="399">
        <v>141.32</v>
      </c>
      <c r="U313" s="399"/>
      <c r="V313" s="399">
        <v>2873.0732800000001</v>
      </c>
      <c r="W313" s="399">
        <v>2873.0732800000001</v>
      </c>
      <c r="X313" s="399">
        <v>2190.2630399999998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520.99061796944238</v>
      </c>
      <c r="AE313" s="399">
        <v>1574.061650292346</v>
      </c>
      <c r="AF313" s="399">
        <v>684.54889707494033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6.7179822147565327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86.731325965268013</v>
      </c>
      <c r="BH313" s="399">
        <v>0</v>
      </c>
      <c r="BI313" s="399">
        <v>16.84</v>
      </c>
      <c r="BJ313" s="399">
        <v>78.680000000000007</v>
      </c>
      <c r="BK313" s="399">
        <v>192.33</v>
      </c>
      <c r="BL313" s="399">
        <v>22</v>
      </c>
      <c r="BM313" s="399"/>
      <c r="BN313" s="399"/>
      <c r="BO313" s="399"/>
      <c r="BP313" s="399"/>
      <c r="BQ313" s="399"/>
      <c r="BR313" s="399"/>
      <c r="BS313" s="399"/>
      <c r="BT313" s="399">
        <v>876.08583999999996</v>
      </c>
      <c r="BU313" s="399"/>
      <c r="BV313" s="399">
        <v>771.28022304020828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1313.0920000000001</v>
      </c>
      <c r="CJ313" s="399">
        <v>-410.77227999999991</v>
      </c>
      <c r="CK313" s="399"/>
      <c r="CL313" s="399"/>
      <c r="CM313" s="399"/>
      <c r="CN313" s="399"/>
      <c r="CO313" s="399">
        <v>-682.81024000000025</v>
      </c>
      <c r="CP313" s="399">
        <v>0</v>
      </c>
      <c r="CQ313" s="399">
        <v>31</v>
      </c>
      <c r="CR313" s="399">
        <v>-2.7522122498633053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-2.4813236581993579</v>
      </c>
      <c r="DA313" s="399">
        <v>0</v>
      </c>
      <c r="DB313" s="399">
        <v>0</v>
      </c>
      <c r="DC313" s="399">
        <v>0</v>
      </c>
      <c r="DD313" s="399">
        <v>0</v>
      </c>
      <c r="DE313" s="399">
        <v>0</v>
      </c>
      <c r="DF313" s="399">
        <v>0</v>
      </c>
      <c r="DG313" s="399">
        <v>0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0</v>
      </c>
      <c r="DP313" s="399">
        <v>-0.27088859166381685</v>
      </c>
      <c r="DQ313" s="399">
        <v>0</v>
      </c>
      <c r="DR313" s="399">
        <v>0</v>
      </c>
      <c r="DS313" s="399"/>
      <c r="DT313" s="399"/>
      <c r="DU313" s="399"/>
      <c r="DV313" s="399">
        <v>1574.061650292346</v>
      </c>
      <c r="DW313" s="399">
        <v>0</v>
      </c>
      <c r="DX313" s="399">
        <v>0</v>
      </c>
      <c r="DY313" s="399">
        <v>-682.81024000000025</v>
      </c>
      <c r="DZ313" s="399">
        <v>0</v>
      </c>
      <c r="EA313" s="399">
        <v>0</v>
      </c>
      <c r="EB313" s="399">
        <v>0</v>
      </c>
      <c r="EC313" s="399">
        <v>-680.02514472969347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218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2361</v>
      </c>
      <c r="C314" s="399" t="s">
        <v>2328</v>
      </c>
      <c r="D314" s="399" t="s">
        <v>1823</v>
      </c>
      <c r="E314" s="399" t="s">
        <v>889</v>
      </c>
      <c r="F314" s="399" t="s">
        <v>2331</v>
      </c>
      <c r="G314" s="399" t="s">
        <v>1239</v>
      </c>
      <c r="H314" s="399" t="s">
        <v>1239</v>
      </c>
      <c r="I314" s="399" t="s">
        <v>1239</v>
      </c>
      <c r="J314" s="399" t="s">
        <v>2329</v>
      </c>
      <c r="K314" s="789">
        <v>44621</v>
      </c>
      <c r="L314" s="399">
        <v>0</v>
      </c>
      <c r="M314" s="399">
        <v>0</v>
      </c>
      <c r="N314" s="399">
        <v>0</v>
      </c>
      <c r="O314" s="399">
        <v>0</v>
      </c>
      <c r="P314" s="399">
        <v>0</v>
      </c>
      <c r="Q314" s="399">
        <v>0</v>
      </c>
      <c r="R314" s="399"/>
      <c r="S314" s="399"/>
      <c r="T314" s="399"/>
      <c r="U314" s="399"/>
      <c r="V314" s="399"/>
      <c r="W314" s="399"/>
      <c r="X314" s="399"/>
      <c r="Y314" s="399"/>
      <c r="Z314" s="399"/>
      <c r="AA314" s="399">
        <v>0</v>
      </c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399"/>
      <c r="AL314" s="399"/>
      <c r="AM314" s="399"/>
      <c r="AN314" s="399"/>
      <c r="AO314" s="399"/>
      <c r="AP314" s="399"/>
      <c r="AQ314" s="399"/>
      <c r="AR314" s="399"/>
      <c r="AS314" s="399"/>
      <c r="AT314" s="399"/>
      <c r="AU314" s="399"/>
      <c r="AV314" s="399"/>
      <c r="AW314" s="399"/>
      <c r="AX314" s="399"/>
      <c r="AY314" s="399"/>
      <c r="AZ314" s="399">
        <v>0</v>
      </c>
      <c r="BA314" s="399"/>
      <c r="BB314" s="399"/>
      <c r="BC314" s="399"/>
      <c r="BD314" s="399"/>
      <c r="BE314" s="399"/>
      <c r="BF314" s="399"/>
      <c r="BG314" s="399"/>
      <c r="BH314" s="399"/>
      <c r="BI314" s="399">
        <v>0</v>
      </c>
      <c r="BJ314" s="399">
        <v>0</v>
      </c>
      <c r="BK314" s="399">
        <v>1.78</v>
      </c>
      <c r="BL314" s="399">
        <v>0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/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/>
      <c r="CJ314" s="399">
        <v>-0.03</v>
      </c>
      <c r="CK314" s="399"/>
      <c r="CL314" s="399"/>
      <c r="CM314" s="399"/>
      <c r="CN314" s="399"/>
      <c r="CO314" s="399">
        <v>0</v>
      </c>
      <c r="CP314" s="399">
        <v>0</v>
      </c>
      <c r="CQ314" s="399">
        <v>31</v>
      </c>
      <c r="CR314" s="399"/>
      <c r="CS314" s="399"/>
      <c r="CT314" s="399"/>
      <c r="CU314" s="399"/>
      <c r="CV314" s="399"/>
      <c r="CW314" s="399"/>
      <c r="CX314" s="399"/>
      <c r="CY314" s="399"/>
      <c r="CZ314" s="399"/>
      <c r="DA314" s="399"/>
      <c r="DB314" s="399"/>
      <c r="DC314" s="399"/>
      <c r="DD314" s="399"/>
      <c r="DE314" s="399"/>
      <c r="DF314" s="399"/>
      <c r="DG314" s="399"/>
      <c r="DH314" s="399"/>
      <c r="DI314" s="399"/>
      <c r="DJ314" s="399"/>
      <c r="DK314" s="399">
        <v>0</v>
      </c>
      <c r="DL314" s="399"/>
      <c r="DM314" s="399"/>
      <c r="DN314" s="399"/>
      <c r="DO314" s="399"/>
      <c r="DP314" s="399"/>
      <c r="DQ314" s="399"/>
      <c r="DR314" s="399"/>
      <c r="DS314" s="399"/>
      <c r="DT314" s="399"/>
      <c r="DU314" s="399"/>
      <c r="DV314" s="399"/>
      <c r="DW314" s="399"/>
      <c r="DX314" s="399"/>
      <c r="DY314" s="399"/>
      <c r="DZ314" s="399"/>
      <c r="EA314" s="399"/>
      <c r="EB314" s="399"/>
      <c r="EC314" s="399"/>
      <c r="ED314" s="399"/>
      <c r="EE314" s="399"/>
      <c r="EF314" s="399"/>
      <c r="EG314" s="399"/>
      <c r="EH314" s="399"/>
      <c r="EI314" s="399"/>
      <c r="EJ314" s="399"/>
      <c r="EK314" s="399"/>
      <c r="EL314" s="399"/>
      <c r="EM314" s="399"/>
      <c r="EN314" s="399"/>
      <c r="EO314" s="399"/>
      <c r="EP314" s="399"/>
      <c r="EQ314" s="399"/>
      <c r="ER314" s="399"/>
      <c r="ES314" s="399"/>
      <c r="ET314" s="399"/>
      <c r="EU314" s="399"/>
      <c r="EV314" s="399">
        <v>218</v>
      </c>
      <c r="EW314" s="399"/>
      <c r="EX314" s="399"/>
      <c r="EY314" s="399"/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956</v>
      </c>
      <c r="C315" s="399" t="s">
        <v>2328</v>
      </c>
      <c r="D315" s="399" t="s">
        <v>1823</v>
      </c>
      <c r="E315" s="399" t="s">
        <v>889</v>
      </c>
      <c r="F315" s="399" t="s">
        <v>2332</v>
      </c>
      <c r="G315" s="399" t="s">
        <v>1239</v>
      </c>
      <c r="H315" s="399" t="s">
        <v>1239</v>
      </c>
      <c r="I315" s="399" t="s">
        <v>1239</v>
      </c>
      <c r="J315" s="399" t="s">
        <v>2329</v>
      </c>
      <c r="K315" s="789">
        <v>44621</v>
      </c>
      <c r="L315" s="399">
        <v>0</v>
      </c>
      <c r="M315" s="399">
        <v>0</v>
      </c>
      <c r="N315" s="399">
        <v>4.2169999999999996</v>
      </c>
      <c r="O315" s="399">
        <v>4.2169999999999996</v>
      </c>
      <c r="P315" s="399">
        <v>4.2169999999999996</v>
      </c>
      <c r="Q315" s="399">
        <v>4.2169999999999996</v>
      </c>
      <c r="R315" s="399"/>
      <c r="S315" s="399">
        <v>451.8</v>
      </c>
      <c r="T315" s="399">
        <v>141.32</v>
      </c>
      <c r="U315" s="399"/>
      <c r="V315" s="399">
        <v>2501.1870399999998</v>
      </c>
      <c r="W315" s="399">
        <v>2501.1870399999998</v>
      </c>
      <c r="X315" s="399">
        <v>1906.7587199999998</v>
      </c>
      <c r="Y315" s="399">
        <v>0</v>
      </c>
      <c r="Z315" s="399">
        <v>0</v>
      </c>
      <c r="AA315" s="399">
        <v>0</v>
      </c>
      <c r="AB315" s="399">
        <v>0</v>
      </c>
      <c r="AC315" s="399">
        <v>0</v>
      </c>
      <c r="AD315" s="399">
        <v>453.55438397546209</v>
      </c>
      <c r="AE315" s="399">
        <v>1370.3175019163546</v>
      </c>
      <c r="AF315" s="399">
        <v>595.94192794488492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0</v>
      </c>
      <c r="AM315" s="399"/>
      <c r="AN315" s="399">
        <v>5.8484168042172371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75.50495491237308</v>
      </c>
      <c r="BH315" s="399">
        <v>0</v>
      </c>
      <c r="BI315" s="399">
        <v>14.64</v>
      </c>
      <c r="BJ315" s="399">
        <v>67.989999999999995</v>
      </c>
      <c r="BK315" s="399">
        <v>405.38</v>
      </c>
      <c r="BL315" s="399">
        <v>39</v>
      </c>
      <c r="BM315" s="399"/>
      <c r="BN315" s="399"/>
      <c r="BO315" s="399"/>
      <c r="BP315" s="399"/>
      <c r="BQ315" s="399"/>
      <c r="BR315" s="399"/>
      <c r="BS315" s="399"/>
      <c r="BT315" s="399">
        <v>190.65056999999987</v>
      </c>
      <c r="BU315" s="399"/>
      <c r="BV315" s="399">
        <v>671.44688285725806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1717.329</v>
      </c>
      <c r="CJ315" s="399">
        <v>-533.77776999999992</v>
      </c>
      <c r="CK315" s="399"/>
      <c r="CL315" s="399"/>
      <c r="CM315" s="399"/>
      <c r="CN315" s="399"/>
      <c r="CO315" s="399">
        <v>-594.4283200000001</v>
      </c>
      <c r="CP315" s="399">
        <v>0</v>
      </c>
      <c r="CQ315" s="399">
        <v>31</v>
      </c>
      <c r="CR315" s="399">
        <v>-2.3959700779673767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-2.1601448940187993</v>
      </c>
      <c r="DA315" s="399">
        <v>0</v>
      </c>
      <c r="DB315" s="399">
        <v>0</v>
      </c>
      <c r="DC315" s="399">
        <v>0</v>
      </c>
      <c r="DD315" s="399">
        <v>0</v>
      </c>
      <c r="DE315" s="399">
        <v>0</v>
      </c>
      <c r="DF315" s="399">
        <v>0</v>
      </c>
      <c r="DG315" s="399">
        <v>0</v>
      </c>
      <c r="DH315" s="399">
        <v>0</v>
      </c>
      <c r="DI315" s="399">
        <v>0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0</v>
      </c>
      <c r="DP315" s="399">
        <v>-0.23582518394845575</v>
      </c>
      <c r="DQ315" s="399">
        <v>0</v>
      </c>
      <c r="DR315" s="399">
        <v>0</v>
      </c>
      <c r="DS315" s="399"/>
      <c r="DT315" s="399"/>
      <c r="DU315" s="399"/>
      <c r="DV315" s="399">
        <v>1370.3175019163546</v>
      </c>
      <c r="DW315" s="399">
        <v>0</v>
      </c>
      <c r="DX315" s="399">
        <v>0</v>
      </c>
      <c r="DY315" s="399">
        <v>-594.42831999999999</v>
      </c>
      <c r="DZ315" s="399">
        <v>0</v>
      </c>
      <c r="EA315" s="399">
        <v>0</v>
      </c>
      <c r="EB315" s="399">
        <v>0</v>
      </c>
      <c r="EC315" s="399">
        <v>-592.00372322979285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218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2361</v>
      </c>
      <c r="C316" s="399" t="s">
        <v>2328</v>
      </c>
      <c r="D316" s="399" t="s">
        <v>1823</v>
      </c>
      <c r="E316" s="399" t="s">
        <v>889</v>
      </c>
      <c r="F316" s="399" t="s">
        <v>2332</v>
      </c>
      <c r="G316" s="399" t="s">
        <v>1239</v>
      </c>
      <c r="H316" s="399" t="s">
        <v>1239</v>
      </c>
      <c r="I316" s="399" t="s">
        <v>1239</v>
      </c>
      <c r="J316" s="399" t="s">
        <v>2329</v>
      </c>
      <c r="K316" s="789">
        <v>44621</v>
      </c>
      <c r="L316" s="399">
        <v>0</v>
      </c>
      <c r="M316" s="399">
        <v>0</v>
      </c>
      <c r="N316" s="399">
        <v>0</v>
      </c>
      <c r="O316" s="399">
        <v>0</v>
      </c>
      <c r="P316" s="399">
        <v>0</v>
      </c>
      <c r="Q316" s="399">
        <v>0</v>
      </c>
      <c r="R316" s="399"/>
      <c r="S316" s="399"/>
      <c r="T316" s="399"/>
      <c r="U316" s="399"/>
      <c r="V316" s="399"/>
      <c r="W316" s="399"/>
      <c r="X316" s="399"/>
      <c r="Y316" s="399"/>
      <c r="Z316" s="399"/>
      <c r="AA316" s="399">
        <v>0</v>
      </c>
      <c r="AB316" s="399"/>
      <c r="AC316" s="399"/>
      <c r="AD316" s="399"/>
      <c r="AE316" s="399"/>
      <c r="AF316" s="399"/>
      <c r="AG316" s="399"/>
      <c r="AH316" s="399"/>
      <c r="AI316" s="399"/>
      <c r="AJ316" s="399"/>
      <c r="AK316" s="399"/>
      <c r="AL316" s="399"/>
      <c r="AM316" s="399"/>
      <c r="AN316" s="399"/>
      <c r="AO316" s="399"/>
      <c r="AP316" s="399"/>
      <c r="AQ316" s="399"/>
      <c r="AR316" s="399"/>
      <c r="AS316" s="399"/>
      <c r="AT316" s="399"/>
      <c r="AU316" s="399"/>
      <c r="AV316" s="399"/>
      <c r="AW316" s="399"/>
      <c r="AX316" s="399"/>
      <c r="AY316" s="399"/>
      <c r="AZ316" s="399">
        <v>0</v>
      </c>
      <c r="BA316" s="399"/>
      <c r="BB316" s="399"/>
      <c r="BC316" s="399"/>
      <c r="BD316" s="399"/>
      <c r="BE316" s="399"/>
      <c r="BF316" s="399"/>
      <c r="BG316" s="399"/>
      <c r="BH316" s="399"/>
      <c r="BI316" s="399">
        <v>0</v>
      </c>
      <c r="BJ316" s="399">
        <v>0</v>
      </c>
      <c r="BK316" s="399">
        <v>6.46</v>
      </c>
      <c r="BL316" s="399">
        <v>1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/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/>
      <c r="CJ316" s="399">
        <v>-0.03</v>
      </c>
      <c r="CK316" s="399"/>
      <c r="CL316" s="399"/>
      <c r="CM316" s="399"/>
      <c r="CN316" s="399"/>
      <c r="CO316" s="399">
        <v>0</v>
      </c>
      <c r="CP316" s="399">
        <v>0</v>
      </c>
      <c r="CQ316" s="399">
        <v>31</v>
      </c>
      <c r="CR316" s="399"/>
      <c r="CS316" s="399"/>
      <c r="CT316" s="399"/>
      <c r="CU316" s="399"/>
      <c r="CV316" s="399"/>
      <c r="CW316" s="399"/>
      <c r="CX316" s="399"/>
      <c r="CY316" s="399"/>
      <c r="CZ316" s="399"/>
      <c r="DA316" s="399"/>
      <c r="DB316" s="399"/>
      <c r="DC316" s="399"/>
      <c r="DD316" s="399"/>
      <c r="DE316" s="399"/>
      <c r="DF316" s="399"/>
      <c r="DG316" s="399"/>
      <c r="DH316" s="399"/>
      <c r="DI316" s="399"/>
      <c r="DJ316" s="399"/>
      <c r="DK316" s="399">
        <v>0</v>
      </c>
      <c r="DL316" s="399"/>
      <c r="DM316" s="399"/>
      <c r="DN316" s="399"/>
      <c r="DO316" s="399"/>
      <c r="DP316" s="399"/>
      <c r="DQ316" s="399"/>
      <c r="DR316" s="399"/>
      <c r="DS316" s="399"/>
      <c r="DT316" s="399"/>
      <c r="DU316" s="399"/>
      <c r="DV316" s="399"/>
      <c r="DW316" s="399"/>
      <c r="DX316" s="399"/>
      <c r="DY316" s="399"/>
      <c r="DZ316" s="399"/>
      <c r="EA316" s="399"/>
      <c r="EB316" s="399"/>
      <c r="EC316" s="399"/>
      <c r="ED316" s="399"/>
      <c r="EE316" s="399"/>
      <c r="EF316" s="399"/>
      <c r="EG316" s="399"/>
      <c r="EH316" s="399"/>
      <c r="EI316" s="399"/>
      <c r="EJ316" s="399"/>
      <c r="EK316" s="399"/>
      <c r="EL316" s="399"/>
      <c r="EM316" s="399"/>
      <c r="EN316" s="399"/>
      <c r="EO316" s="399"/>
      <c r="EP316" s="399"/>
      <c r="EQ316" s="399"/>
      <c r="ER316" s="399"/>
      <c r="ES316" s="399"/>
      <c r="ET316" s="399"/>
      <c r="EU316" s="399"/>
      <c r="EV316" s="399">
        <v>218</v>
      </c>
      <c r="EW316" s="399"/>
      <c r="EX316" s="399"/>
      <c r="EY316" s="399"/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956</v>
      </c>
      <c r="C317" s="399" t="s">
        <v>2328</v>
      </c>
      <c r="D317" s="399" t="s">
        <v>1823</v>
      </c>
      <c r="E317" s="399" t="s">
        <v>889</v>
      </c>
      <c r="F317" s="399" t="s">
        <v>2333</v>
      </c>
      <c r="G317" s="399" t="s">
        <v>1239</v>
      </c>
      <c r="H317" s="399" t="s">
        <v>1239</v>
      </c>
      <c r="I317" s="399" t="s">
        <v>1239</v>
      </c>
      <c r="J317" s="399" t="s">
        <v>2329</v>
      </c>
      <c r="K317" s="789">
        <v>44621</v>
      </c>
      <c r="L317" s="399">
        <v>0</v>
      </c>
      <c r="M317" s="399">
        <v>0</v>
      </c>
      <c r="N317" s="399">
        <v>2.129</v>
      </c>
      <c r="O317" s="399">
        <v>2.129</v>
      </c>
      <c r="P317" s="399">
        <v>2.129</v>
      </c>
      <c r="Q317" s="399">
        <v>2.129</v>
      </c>
      <c r="R317" s="399"/>
      <c r="S317" s="399">
        <v>451.8</v>
      </c>
      <c r="T317" s="399">
        <v>141.32</v>
      </c>
      <c r="U317" s="399"/>
      <c r="V317" s="399">
        <v>1262.7524800000001</v>
      </c>
      <c r="W317" s="399">
        <v>1262.7524800000001</v>
      </c>
      <c r="X317" s="399">
        <v>962.64863999999989</v>
      </c>
      <c r="Y317" s="399">
        <v>0</v>
      </c>
      <c r="Z317" s="399">
        <v>0</v>
      </c>
      <c r="AA317" s="399">
        <v>0</v>
      </c>
      <c r="AB317" s="399">
        <v>0</v>
      </c>
      <c r="AC317" s="399">
        <v>0</v>
      </c>
      <c r="AD317" s="399">
        <v>228.98204493330775</v>
      </c>
      <c r="AE317" s="399">
        <v>691.82024225276723</v>
      </c>
      <c r="AF317" s="399">
        <v>300.86800203809821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0</v>
      </c>
      <c r="AM317" s="399"/>
      <c r="AN317" s="399">
        <v>2.9526391691198715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38.119527865411975</v>
      </c>
      <c r="BH317" s="399">
        <v>0</v>
      </c>
      <c r="BI317" s="399">
        <v>7.61</v>
      </c>
      <c r="BJ317" s="399">
        <v>34.24</v>
      </c>
      <c r="BK317" s="399">
        <v>334.75</v>
      </c>
      <c r="BL317" s="399">
        <v>17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338.98752990351016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963.10079999999994</v>
      </c>
      <c r="CJ317" s="399">
        <v>-299.68168000000014</v>
      </c>
      <c r="CK317" s="399"/>
      <c r="CL317" s="399"/>
      <c r="CM317" s="399"/>
      <c r="CN317" s="399"/>
      <c r="CO317" s="399">
        <v>-300.1038400000001</v>
      </c>
      <c r="CP317" s="399">
        <v>0</v>
      </c>
      <c r="CQ317" s="399">
        <v>31</v>
      </c>
      <c r="CR317" s="399">
        <v>-1.2096325103134404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-1.0905735070822686</v>
      </c>
      <c r="DA317" s="399">
        <v>0</v>
      </c>
      <c r="DB317" s="399">
        <v>0</v>
      </c>
      <c r="DC317" s="399">
        <v>0</v>
      </c>
      <c r="DD317" s="399">
        <v>0</v>
      </c>
      <c r="DE317" s="399">
        <v>0</v>
      </c>
      <c r="DF317" s="399">
        <v>0</v>
      </c>
      <c r="DG317" s="399">
        <v>0</v>
      </c>
      <c r="DH317" s="399">
        <v>0</v>
      </c>
      <c r="DI317" s="399">
        <v>0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0</v>
      </c>
      <c r="DP317" s="399">
        <v>-0.11905900323126861</v>
      </c>
      <c r="DQ317" s="399">
        <v>0</v>
      </c>
      <c r="DR317" s="399">
        <v>0</v>
      </c>
      <c r="DS317" s="399"/>
      <c r="DT317" s="399"/>
      <c r="DU317" s="399"/>
      <c r="DV317" s="399">
        <v>691.82024225276723</v>
      </c>
      <c r="DW317" s="399">
        <v>0</v>
      </c>
      <c r="DX317" s="399">
        <v>0</v>
      </c>
      <c r="DY317" s="399">
        <v>-300.1038400000001</v>
      </c>
      <c r="DZ317" s="399">
        <v>0</v>
      </c>
      <c r="EA317" s="399">
        <v>0</v>
      </c>
      <c r="EB317" s="399">
        <v>0</v>
      </c>
      <c r="EC317" s="399">
        <v>-298.87975498132067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218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956</v>
      </c>
      <c r="C318" s="399" t="s">
        <v>2328</v>
      </c>
      <c r="D318" s="399" t="s">
        <v>1826</v>
      </c>
      <c r="E318" s="399" t="s">
        <v>890</v>
      </c>
      <c r="F318" s="399" t="s">
        <v>1239</v>
      </c>
      <c r="G318" s="399" t="s">
        <v>1239</v>
      </c>
      <c r="H318" s="399" t="s">
        <v>1239</v>
      </c>
      <c r="I318" s="399" t="s">
        <v>1239</v>
      </c>
      <c r="J318" s="399" t="s">
        <v>2329</v>
      </c>
      <c r="K318" s="789">
        <v>44621</v>
      </c>
      <c r="L318" s="399">
        <v>0</v>
      </c>
      <c r="M318" s="399">
        <v>0</v>
      </c>
      <c r="N318" s="399">
        <v>148.249</v>
      </c>
      <c r="O318" s="399">
        <v>148.249</v>
      </c>
      <c r="P318" s="399">
        <v>148.249</v>
      </c>
      <c r="Q318" s="399">
        <v>148.249</v>
      </c>
      <c r="R318" s="399"/>
      <c r="S318" s="399">
        <v>521.86</v>
      </c>
      <c r="T318" s="399">
        <v>141.32</v>
      </c>
      <c r="U318" s="399"/>
      <c r="V318" s="399">
        <v>98315.771819999994</v>
      </c>
      <c r="W318" s="399">
        <v>98315.771819999994</v>
      </c>
      <c r="X318" s="399">
        <v>76841.904169999994</v>
      </c>
      <c r="Y318" s="399">
        <v>0</v>
      </c>
      <c r="Z318" s="399">
        <v>8995.3108726224236</v>
      </c>
      <c r="AA318" s="399">
        <v>0</v>
      </c>
      <c r="AB318" s="399">
        <v>0</v>
      </c>
      <c r="AC318" s="399">
        <v>0</v>
      </c>
      <c r="AD318" s="399">
        <v>15944.743625795181</v>
      </c>
      <c r="AE318" s="399">
        <v>48173.630386909572</v>
      </c>
      <c r="AF318" s="399">
        <v>20950.390058311892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1390.8709837427916</v>
      </c>
      <c r="AM318" s="399"/>
      <c r="AN318" s="399">
        <v>205.60159895859644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2654.3832252322495</v>
      </c>
      <c r="BH318" s="399">
        <v>0</v>
      </c>
      <c r="BI318" s="399">
        <v>659.74</v>
      </c>
      <c r="BJ318" s="399">
        <v>3048.02</v>
      </c>
      <c r="BK318" s="399">
        <v>33798.07</v>
      </c>
      <c r="BL318" s="399">
        <v>143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23604.773283544142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76842.422500000001</v>
      </c>
      <c r="CJ318" s="399">
        <v>-21473.379319999978</v>
      </c>
      <c r="CK318" s="399"/>
      <c r="CL318" s="399"/>
      <c r="CM318" s="399"/>
      <c r="CN318" s="399"/>
      <c r="CO318" s="399">
        <v>-21473.867650000004</v>
      </c>
      <c r="CP318" s="399">
        <v>0</v>
      </c>
      <c r="CQ318" s="399">
        <v>31</v>
      </c>
      <c r="CR318" s="399">
        <v>-660.55860777309863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-75.940080719323305</v>
      </c>
      <c r="DA318" s="399">
        <v>0</v>
      </c>
      <c r="DB318" s="399">
        <v>0</v>
      </c>
      <c r="DC318" s="399">
        <v>0</v>
      </c>
      <c r="DD318" s="399">
        <v>0</v>
      </c>
      <c r="DE318" s="399">
        <v>0</v>
      </c>
      <c r="DF318" s="399">
        <v>0</v>
      </c>
      <c r="DG318" s="399">
        <v>0</v>
      </c>
      <c r="DH318" s="399">
        <v>0</v>
      </c>
      <c r="DI318" s="399">
        <v>-506.8287494375636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-69.499322862790223</v>
      </c>
      <c r="DP318" s="399">
        <v>-8.2904547534205619</v>
      </c>
      <c r="DQ318" s="399">
        <v>0</v>
      </c>
      <c r="DR318" s="399">
        <v>0</v>
      </c>
      <c r="DS318" s="399"/>
      <c r="DT318" s="399"/>
      <c r="DU318" s="399"/>
      <c r="DV318" s="399">
        <v>48173.630386909572</v>
      </c>
      <c r="DW318" s="399">
        <v>0</v>
      </c>
      <c r="DX318" s="399">
        <v>0</v>
      </c>
      <c r="DY318" s="399">
        <v>-21473.867650000007</v>
      </c>
      <c r="DZ318" s="399">
        <v>0</v>
      </c>
      <c r="EA318" s="399">
        <v>0</v>
      </c>
      <c r="EB318" s="399">
        <v>0</v>
      </c>
      <c r="EC318" s="399">
        <v>-20811.942130683794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218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2360</v>
      </c>
      <c r="C319" s="399" t="s">
        <v>2328</v>
      </c>
      <c r="D319" s="399" t="s">
        <v>1826</v>
      </c>
      <c r="E319" s="399" t="s">
        <v>890</v>
      </c>
      <c r="F319" s="399" t="s">
        <v>1239</v>
      </c>
      <c r="G319" s="399" t="s">
        <v>1239</v>
      </c>
      <c r="H319" s="399" t="s">
        <v>1239</v>
      </c>
      <c r="I319" s="399" t="s">
        <v>1239</v>
      </c>
      <c r="J319" s="399" t="s">
        <v>2329</v>
      </c>
      <c r="K319" s="789">
        <v>44621</v>
      </c>
      <c r="L319" s="399">
        <v>0</v>
      </c>
      <c r="M319" s="399">
        <v>0</v>
      </c>
      <c r="N319" s="399">
        <v>-3.4359999999999999</v>
      </c>
      <c r="O319" s="399">
        <v>-3.4359999999999999</v>
      </c>
      <c r="P319" s="399">
        <v>-3.4359999999999999</v>
      </c>
      <c r="Q319" s="399">
        <v>-3.4359999999999999</v>
      </c>
      <c r="R319" s="399"/>
      <c r="S319" s="399">
        <v>521.86</v>
      </c>
      <c r="T319" s="399">
        <v>141.32</v>
      </c>
      <c r="U319" s="399"/>
      <c r="V319" s="399">
        <v>-2278.6864799999998</v>
      </c>
      <c r="W319" s="399">
        <v>-2278.6864799999998</v>
      </c>
      <c r="X319" s="399">
        <v>-1780.9818799999998</v>
      </c>
      <c r="Y319" s="399">
        <v>0</v>
      </c>
      <c r="Z319" s="399">
        <v>-208.48631800774811</v>
      </c>
      <c r="AA319" s="399">
        <v>0</v>
      </c>
      <c r="AB319" s="399">
        <v>0</v>
      </c>
      <c r="AC319" s="399">
        <v>0</v>
      </c>
      <c r="AD319" s="399">
        <v>-369.5548644391007</v>
      </c>
      <c r="AE319" s="399">
        <v>-1116.5309311322255</v>
      </c>
      <c r="AF319" s="399">
        <v>-485.57184358990395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-32.236525711068758</v>
      </c>
      <c r="AM319" s="399"/>
      <c r="AN319" s="399">
        <v>-4.7652739244226767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-61.521229565784658</v>
      </c>
      <c r="BH319" s="399">
        <v>0</v>
      </c>
      <c r="BI319" s="399">
        <v>-15.3</v>
      </c>
      <c r="BJ319" s="399">
        <v>-70.63</v>
      </c>
      <c r="BK319" s="399">
        <v>-784.75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-547.09307315568856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-1783.0551999999998</v>
      </c>
      <c r="CJ319" s="399">
        <v>495.60127999999986</v>
      </c>
      <c r="CK319" s="399"/>
      <c r="CL319" s="399"/>
      <c r="CM319" s="399"/>
      <c r="CN319" s="399"/>
      <c r="CO319" s="399">
        <v>497.70460000000008</v>
      </c>
      <c r="CP319" s="399">
        <v>0</v>
      </c>
      <c r="CQ319" s="399">
        <v>31</v>
      </c>
      <c r="CR319" s="399">
        <v>15.309913566421073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1.7600801175831862</v>
      </c>
      <c r="DA319" s="399">
        <v>0</v>
      </c>
      <c r="DB319" s="399">
        <v>0</v>
      </c>
      <c r="DC319" s="399">
        <v>0</v>
      </c>
      <c r="DD319" s="399">
        <v>0</v>
      </c>
      <c r="DE319" s="399">
        <v>0</v>
      </c>
      <c r="DF319" s="399">
        <v>0</v>
      </c>
      <c r="DG319" s="399">
        <v>0</v>
      </c>
      <c r="DH319" s="399">
        <v>0</v>
      </c>
      <c r="DI319" s="399">
        <v>11.746882495446641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1.6108012422110605</v>
      </c>
      <c r="DP319" s="399">
        <v>0.19214971118019708</v>
      </c>
      <c r="DQ319" s="399">
        <v>0</v>
      </c>
      <c r="DR319" s="399">
        <v>0</v>
      </c>
      <c r="DS319" s="399"/>
      <c r="DT319" s="399"/>
      <c r="DU319" s="399"/>
      <c r="DV319" s="399">
        <v>-1116.5309311322255</v>
      </c>
      <c r="DW319" s="399">
        <v>0</v>
      </c>
      <c r="DX319" s="399">
        <v>0</v>
      </c>
      <c r="DY319" s="399">
        <v>497.70460000000003</v>
      </c>
      <c r="DZ319" s="399">
        <v>0</v>
      </c>
      <c r="EA319" s="399">
        <v>0</v>
      </c>
      <c r="EB319" s="399">
        <v>0</v>
      </c>
      <c r="EC319" s="399">
        <v>482.36300522114504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218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2361</v>
      </c>
      <c r="C320" s="399" t="s">
        <v>2328</v>
      </c>
      <c r="D320" s="399" t="s">
        <v>1826</v>
      </c>
      <c r="E320" s="399" t="s">
        <v>890</v>
      </c>
      <c r="F320" s="399" t="s">
        <v>1239</v>
      </c>
      <c r="G320" s="399" t="s">
        <v>1239</v>
      </c>
      <c r="H320" s="399" t="s">
        <v>1239</v>
      </c>
      <c r="I320" s="399" t="s">
        <v>1239</v>
      </c>
      <c r="J320" s="399" t="s">
        <v>2329</v>
      </c>
      <c r="K320" s="789">
        <v>44621</v>
      </c>
      <c r="L320" s="399">
        <v>0</v>
      </c>
      <c r="M320" s="399">
        <v>0</v>
      </c>
      <c r="N320" s="399">
        <v>6.4610000000000003</v>
      </c>
      <c r="O320" s="399">
        <v>6.4610000000000003</v>
      </c>
      <c r="P320" s="399">
        <v>6.4610000000000003</v>
      </c>
      <c r="Q320" s="399">
        <v>6.4610000000000003</v>
      </c>
      <c r="R320" s="399"/>
      <c r="S320" s="399">
        <v>521.86</v>
      </c>
      <c r="T320" s="399">
        <v>141.32</v>
      </c>
      <c r="U320" s="399"/>
      <c r="V320" s="399">
        <v>4284.8059800000001</v>
      </c>
      <c r="W320" s="399">
        <v>4284.8059800000001</v>
      </c>
      <c r="X320" s="399">
        <v>3348.9301299999997</v>
      </c>
      <c r="Y320" s="399">
        <v>0</v>
      </c>
      <c r="Z320" s="399">
        <v>392.03437155065791</v>
      </c>
      <c r="AA320" s="399">
        <v>0</v>
      </c>
      <c r="AB320" s="399">
        <v>0</v>
      </c>
      <c r="AC320" s="399">
        <v>0</v>
      </c>
      <c r="AD320" s="399">
        <v>694.90511616444405</v>
      </c>
      <c r="AE320" s="399">
        <v>2099.5070855777967</v>
      </c>
      <c r="AF320" s="399">
        <v>913.06160693666163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60.617052566709908</v>
      </c>
      <c r="AM320" s="399"/>
      <c r="AN320" s="399">
        <v>8.9605456419368199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115.68354604904968</v>
      </c>
      <c r="BH320" s="399">
        <v>0</v>
      </c>
      <c r="BI320" s="399">
        <v>28.73</v>
      </c>
      <c r="BJ320" s="399">
        <v>132.87</v>
      </c>
      <c r="BK320" s="399">
        <v>3708.8</v>
      </c>
      <c r="BL320" s="399">
        <v>10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1028.7451529857112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3348.4117999999999</v>
      </c>
      <c r="CJ320" s="399">
        <v>-936.42418000000089</v>
      </c>
      <c r="CK320" s="399"/>
      <c r="CL320" s="399"/>
      <c r="CM320" s="399"/>
      <c r="CN320" s="399"/>
      <c r="CO320" s="399">
        <v>-935.87585000000024</v>
      </c>
      <c r="CP320" s="399">
        <v>0</v>
      </c>
      <c r="CQ320" s="399">
        <v>31</v>
      </c>
      <c r="CR320" s="399">
        <v>-28.788519078186255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-3.3096267868758105</v>
      </c>
      <c r="DA320" s="399">
        <v>0</v>
      </c>
      <c r="DB320" s="399">
        <v>0</v>
      </c>
      <c r="DC320" s="399">
        <v>0</v>
      </c>
      <c r="DD320" s="399">
        <v>0</v>
      </c>
      <c r="DE320" s="399">
        <v>0</v>
      </c>
      <c r="DF320" s="399">
        <v>0</v>
      </c>
      <c r="DG320" s="399">
        <v>0</v>
      </c>
      <c r="DH320" s="399">
        <v>0</v>
      </c>
      <c r="DI320" s="399">
        <v>-22.088651863527559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-3.0289251530633408</v>
      </c>
      <c r="DP320" s="399">
        <v>-0.36131527471922276</v>
      </c>
      <c r="DQ320" s="399">
        <v>0</v>
      </c>
      <c r="DR320" s="399">
        <v>0</v>
      </c>
      <c r="DS320" s="399"/>
      <c r="DT320" s="399"/>
      <c r="DU320" s="399"/>
      <c r="DV320" s="399">
        <v>2099.5070855777967</v>
      </c>
      <c r="DW320" s="399">
        <v>0</v>
      </c>
      <c r="DX320" s="399">
        <v>0</v>
      </c>
      <c r="DY320" s="399">
        <v>-935.87585000000036</v>
      </c>
      <c r="DZ320" s="399">
        <v>0</v>
      </c>
      <c r="EA320" s="399">
        <v>0</v>
      </c>
      <c r="EB320" s="399">
        <v>0</v>
      </c>
      <c r="EC320" s="399">
        <v>-907.02775807154194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218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956</v>
      </c>
      <c r="C321" s="399" t="s">
        <v>2334</v>
      </c>
      <c r="D321" s="399" t="s">
        <v>533</v>
      </c>
      <c r="E321" s="399" t="s">
        <v>890</v>
      </c>
      <c r="F321" s="399" t="s">
        <v>1239</v>
      </c>
      <c r="G321" s="399" t="s">
        <v>1239</v>
      </c>
      <c r="H321" s="399" t="s">
        <v>1239</v>
      </c>
      <c r="I321" s="399" t="s">
        <v>893</v>
      </c>
      <c r="J321" s="399" t="s">
        <v>2329</v>
      </c>
      <c r="K321" s="789">
        <v>44621</v>
      </c>
      <c r="L321" s="399">
        <v>0</v>
      </c>
      <c r="M321" s="399">
        <v>0</v>
      </c>
      <c r="N321" s="399">
        <v>60.518000000000001</v>
      </c>
      <c r="O321" s="399">
        <v>60.518000000000001</v>
      </c>
      <c r="P321" s="399">
        <v>60.518000000000001</v>
      </c>
      <c r="Q321" s="399">
        <v>60.518000000000001</v>
      </c>
      <c r="R321" s="399"/>
      <c r="S321" s="399">
        <v>2741.05</v>
      </c>
      <c r="T321" s="399">
        <v>141.32</v>
      </c>
      <c r="U321" s="399"/>
      <c r="V321" s="399">
        <v>174435.26766000001</v>
      </c>
      <c r="W321" s="399">
        <v>174435.26766000001</v>
      </c>
      <c r="X321" s="399">
        <v>124901.88984</v>
      </c>
      <c r="Y321" s="399">
        <v>0</v>
      </c>
      <c r="Z321" s="399">
        <v>3194.6863341320795</v>
      </c>
      <c r="AA321" s="399">
        <v>0</v>
      </c>
      <c r="AB321" s="399">
        <v>0</v>
      </c>
      <c r="AC321" s="399">
        <v>0</v>
      </c>
      <c r="AD321" s="399">
        <v>48024.753593869151</v>
      </c>
      <c r="AE321" s="399">
        <v>113641.22911442917</v>
      </c>
      <c r="AF321" s="399">
        <v>8552.3390076757296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567.77941297510449</v>
      </c>
      <c r="AM321" s="399"/>
      <c r="AN321" s="399">
        <v>36.35572931563452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418.3584179556164</v>
      </c>
      <c r="BH321" s="399">
        <v>0</v>
      </c>
      <c r="BI321" s="399">
        <v>0</v>
      </c>
      <c r="BJ321" s="399">
        <v>0</v>
      </c>
      <c r="BK321" s="399">
        <v>0</v>
      </c>
      <c r="BL321" s="399">
        <v>0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8970.6974256313461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124906.01760000001</v>
      </c>
      <c r="CJ321" s="399">
        <v>-49529.280060000034</v>
      </c>
      <c r="CK321" s="399"/>
      <c r="CL321" s="399"/>
      <c r="CM321" s="399"/>
      <c r="CN321" s="399"/>
      <c r="CO321" s="399">
        <v>-49533.377820000016</v>
      </c>
      <c r="CP321" s="399">
        <v>0</v>
      </c>
      <c r="CQ321" s="399">
        <v>31</v>
      </c>
      <c r="CR321" s="399">
        <v>-438.56485563047318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-228.72764530036511</v>
      </c>
      <c r="DA321" s="399">
        <v>0</v>
      </c>
      <c r="DB321" s="399">
        <v>0</v>
      </c>
      <c r="DC321" s="399">
        <v>0</v>
      </c>
      <c r="DD321" s="399">
        <v>0</v>
      </c>
      <c r="DE321" s="399">
        <v>0</v>
      </c>
      <c r="DF321" s="399">
        <v>0</v>
      </c>
      <c r="DG321" s="399">
        <v>0</v>
      </c>
      <c r="DH321" s="399">
        <v>0</v>
      </c>
      <c r="DI321" s="399">
        <v>-180.00032489165687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-28.370916640316864</v>
      </c>
      <c r="DP321" s="399">
        <v>-1.4659687981298433</v>
      </c>
      <c r="DQ321" s="399">
        <v>0</v>
      </c>
      <c r="DR321" s="399">
        <v>0</v>
      </c>
      <c r="DS321" s="399"/>
      <c r="DT321" s="399"/>
      <c r="DU321" s="399"/>
      <c r="DV321" s="399">
        <v>113641.22911442917</v>
      </c>
      <c r="DW321" s="399">
        <v>0</v>
      </c>
      <c r="DX321" s="399">
        <v>0</v>
      </c>
      <c r="DY321" s="399">
        <v>-49533.377820000023</v>
      </c>
      <c r="DZ321" s="399">
        <v>0</v>
      </c>
      <c r="EA321" s="399">
        <v>0</v>
      </c>
      <c r="EB321" s="399">
        <v>0</v>
      </c>
      <c r="EC321" s="399">
        <v>-49095.21381290719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218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956</v>
      </c>
      <c r="C322" s="399" t="s">
        <v>2334</v>
      </c>
      <c r="D322" s="399" t="s">
        <v>533</v>
      </c>
      <c r="E322" s="399" t="s">
        <v>890</v>
      </c>
      <c r="F322" s="399" t="s">
        <v>1239</v>
      </c>
      <c r="G322" s="399" t="s">
        <v>1239</v>
      </c>
      <c r="H322" s="399" t="s">
        <v>1239</v>
      </c>
      <c r="I322" s="399" t="s">
        <v>2326</v>
      </c>
      <c r="J322" s="399" t="s">
        <v>2329</v>
      </c>
      <c r="K322" s="789">
        <v>44621</v>
      </c>
      <c r="L322" s="399">
        <v>0</v>
      </c>
      <c r="M322" s="399">
        <v>0</v>
      </c>
      <c r="N322" s="399">
        <v>2388.7150000000001</v>
      </c>
      <c r="O322" s="399">
        <v>2388.7150000000001</v>
      </c>
      <c r="P322" s="399">
        <v>2388.7150000000001</v>
      </c>
      <c r="Q322" s="399">
        <v>2388.7150000000001</v>
      </c>
      <c r="R322" s="399"/>
      <c r="S322" s="399">
        <v>69.680000000000007</v>
      </c>
      <c r="T322" s="399">
        <v>141.32</v>
      </c>
      <c r="U322" s="399"/>
      <c r="V322" s="399">
        <v>504018.86500000005</v>
      </c>
      <c r="W322" s="399">
        <v>504018.86500000005</v>
      </c>
      <c r="X322" s="399">
        <v>495753.91110000003</v>
      </c>
      <c r="Y322" s="399">
        <v>0</v>
      </c>
      <c r="Z322" s="399">
        <v>126097.94055712863</v>
      </c>
      <c r="AA322" s="399">
        <v>0</v>
      </c>
      <c r="AB322" s="399">
        <v>0</v>
      </c>
      <c r="AC322" s="399">
        <v>0</v>
      </c>
      <c r="AD322" s="399">
        <v>0</v>
      </c>
      <c r="AE322" s="399">
        <v>0</v>
      </c>
      <c r="AF322" s="399">
        <v>337570.6479513555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22410.905853875323</v>
      </c>
      <c r="AM322" s="399"/>
      <c r="AN322" s="399">
        <v>1435.0024117154551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16513.087483837044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354083.73543519253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495754.9487999999</v>
      </c>
      <c r="CJ322" s="399">
        <v>-8263.9462000001804</v>
      </c>
      <c r="CK322" s="399"/>
      <c r="CL322" s="399"/>
      <c r="CM322" s="399"/>
      <c r="CN322" s="399"/>
      <c r="CO322" s="399">
        <v>-8264.9539000000186</v>
      </c>
      <c r="CP322" s="399">
        <v>0</v>
      </c>
      <c r="CQ322" s="399">
        <v>31</v>
      </c>
      <c r="CR322" s="399">
        <v>-8282.515811389545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0</v>
      </c>
      <c r="DA322" s="399">
        <v>0</v>
      </c>
      <c r="DB322" s="399">
        <v>0</v>
      </c>
      <c r="DC322" s="399">
        <v>0</v>
      </c>
      <c r="DD322" s="399">
        <v>0</v>
      </c>
      <c r="DE322" s="399">
        <v>0</v>
      </c>
      <c r="DF322" s="399">
        <v>0</v>
      </c>
      <c r="DG322" s="399">
        <v>0</v>
      </c>
      <c r="DH322" s="399">
        <v>0</v>
      </c>
      <c r="DI322" s="399">
        <v>-7104.8196581772936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-1119.832680235213</v>
      </c>
      <c r="DP322" s="399">
        <v>-57.863472977043784</v>
      </c>
      <c r="DQ322" s="399">
        <v>0</v>
      </c>
      <c r="DR322" s="399">
        <v>0</v>
      </c>
      <c r="DS322" s="399"/>
      <c r="DT322" s="399"/>
      <c r="DU322" s="399"/>
      <c r="DV322" s="399">
        <v>0</v>
      </c>
      <c r="DW322" s="399">
        <v>0</v>
      </c>
      <c r="DX322" s="399">
        <v>0</v>
      </c>
      <c r="DY322" s="399">
        <v>-8264.9539000000223</v>
      </c>
      <c r="DZ322" s="399">
        <v>0</v>
      </c>
      <c r="EA322" s="399">
        <v>0</v>
      </c>
      <c r="EB322" s="399">
        <v>0</v>
      </c>
      <c r="EC322" s="399">
        <v>0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218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956</v>
      </c>
      <c r="C323" s="399" t="s">
        <v>2334</v>
      </c>
      <c r="D323" s="399" t="s">
        <v>533</v>
      </c>
      <c r="E323" s="399" t="s">
        <v>890</v>
      </c>
      <c r="F323" s="399" t="s">
        <v>1239</v>
      </c>
      <c r="G323" s="399" t="s">
        <v>1239</v>
      </c>
      <c r="H323" s="399" t="s">
        <v>1239</v>
      </c>
      <c r="I323" s="399" t="s">
        <v>1239</v>
      </c>
      <c r="J323" s="399" t="s">
        <v>2329</v>
      </c>
      <c r="K323" s="789">
        <v>44621</v>
      </c>
      <c r="L323" s="399">
        <v>10757</v>
      </c>
      <c r="M323" s="399">
        <v>10757</v>
      </c>
      <c r="N323" s="399">
        <v>0</v>
      </c>
      <c r="O323" s="399">
        <v>0</v>
      </c>
      <c r="P323" s="399">
        <v>0</v>
      </c>
      <c r="Q323" s="399">
        <v>0</v>
      </c>
      <c r="R323" s="399">
        <v>35.15</v>
      </c>
      <c r="S323" s="399"/>
      <c r="T323" s="399"/>
      <c r="U323" s="399">
        <v>378108.55</v>
      </c>
      <c r="V323" s="399"/>
      <c r="W323" s="399">
        <v>378108.55</v>
      </c>
      <c r="X323" s="399">
        <v>276024.62</v>
      </c>
      <c r="Y323" s="399">
        <v>0</v>
      </c>
      <c r="Z323" s="399">
        <v>0</v>
      </c>
      <c r="AA323" s="399">
        <v>0</v>
      </c>
      <c r="AB323" s="399">
        <v>0</v>
      </c>
      <c r="AC323" s="399">
        <v>0</v>
      </c>
      <c r="AD323" s="399">
        <v>143405.58250769036</v>
      </c>
      <c r="AE323" s="399">
        <v>234695.98096934447</v>
      </c>
      <c r="AF323" s="399"/>
      <c r="AG323" s="399"/>
      <c r="AH323" s="399"/>
      <c r="AI323" s="399">
        <v>0</v>
      </c>
      <c r="AJ323" s="399">
        <v>0</v>
      </c>
      <c r="AK323" s="399">
        <v>0</v>
      </c>
      <c r="AL323" s="399">
        <v>0</v>
      </c>
      <c r="AM323" s="399"/>
      <c r="AN323" s="399">
        <v>0</v>
      </c>
      <c r="AO323" s="399">
        <v>0</v>
      </c>
      <c r="AP323" s="399">
        <v>0</v>
      </c>
      <c r="AQ323" s="399">
        <v>0</v>
      </c>
      <c r="AR323" s="399">
        <v>0</v>
      </c>
      <c r="AS323" s="399"/>
      <c r="AT323" s="399"/>
      <c r="AU323" s="399">
        <v>0</v>
      </c>
      <c r="AV323" s="399">
        <v>0</v>
      </c>
      <c r="AW323" s="399">
        <v>0</v>
      </c>
      <c r="AX323" s="399"/>
      <c r="AY323" s="399"/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/>
      <c r="BG323" s="399">
        <v>0</v>
      </c>
      <c r="BH323" s="399">
        <v>0</v>
      </c>
      <c r="BI323" s="399">
        <v>8511.33</v>
      </c>
      <c r="BJ323" s="399">
        <v>39283.74</v>
      </c>
      <c r="BK323" s="399">
        <v>424785.54</v>
      </c>
      <c r="BL323" s="399">
        <v>30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0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276024.62</v>
      </c>
      <c r="CJ323" s="399">
        <v>-102083.96000000002</v>
      </c>
      <c r="CK323" s="399"/>
      <c r="CL323" s="399"/>
      <c r="CM323" s="399"/>
      <c r="CN323" s="399"/>
      <c r="CO323" s="399">
        <v>-102083.92999999998</v>
      </c>
      <c r="CP323" s="399">
        <v>0</v>
      </c>
      <c r="CQ323" s="399">
        <v>31</v>
      </c>
      <c r="CR323" s="399">
        <v>-682.99821977753891</v>
      </c>
      <c r="CS323" s="399">
        <v>0</v>
      </c>
      <c r="CT323" s="399">
        <v>0</v>
      </c>
      <c r="CU323" s="399">
        <v>0</v>
      </c>
      <c r="CV323" s="399">
        <v>0</v>
      </c>
      <c r="CW323" s="399"/>
      <c r="CX323" s="399"/>
      <c r="CY323" s="399"/>
      <c r="CZ323" s="399">
        <v>-682.99821977753891</v>
      </c>
      <c r="DA323" s="399">
        <v>0</v>
      </c>
      <c r="DB323" s="399">
        <v>0</v>
      </c>
      <c r="DC323" s="399"/>
      <c r="DD323" s="399"/>
      <c r="DE323" s="399">
        <v>0</v>
      </c>
      <c r="DF323" s="399">
        <v>0</v>
      </c>
      <c r="DG323" s="399">
        <v>0</v>
      </c>
      <c r="DH323" s="399">
        <v>0</v>
      </c>
      <c r="DI323" s="399">
        <v>0</v>
      </c>
      <c r="DJ323" s="399"/>
      <c r="DK323" s="399">
        <v>0</v>
      </c>
      <c r="DL323" s="399">
        <v>0</v>
      </c>
      <c r="DM323" s="399"/>
      <c r="DN323" s="399">
        <v>0</v>
      </c>
      <c r="DO323" s="399">
        <v>0</v>
      </c>
      <c r="DP323" s="399">
        <v>0</v>
      </c>
      <c r="DQ323" s="399">
        <v>0</v>
      </c>
      <c r="DR323" s="399">
        <v>0</v>
      </c>
      <c r="DS323" s="399"/>
      <c r="DT323" s="399"/>
      <c r="DU323" s="399">
        <v>234695.98096934447</v>
      </c>
      <c r="DV323" s="399"/>
      <c r="DW323" s="399">
        <v>0</v>
      </c>
      <c r="DX323" s="399">
        <v>0</v>
      </c>
      <c r="DY323" s="399">
        <v>-102083.93</v>
      </c>
      <c r="DZ323" s="399"/>
      <c r="EA323" s="399">
        <v>0</v>
      </c>
      <c r="EB323" s="399"/>
      <c r="EC323" s="399">
        <v>-101393.21315433501</v>
      </c>
      <c r="ED323" s="399"/>
      <c r="EE323" s="399">
        <v>0</v>
      </c>
      <c r="EF323" s="399">
        <v>0</v>
      </c>
      <c r="EG323" s="399"/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/>
      <c r="EN323" s="399"/>
      <c r="EO323" s="399">
        <v>0</v>
      </c>
      <c r="EP323" s="399">
        <v>0</v>
      </c>
      <c r="EQ323" s="399"/>
      <c r="ER323" s="399">
        <v>0</v>
      </c>
      <c r="ES323" s="399"/>
      <c r="ET323" s="399">
        <v>0</v>
      </c>
      <c r="EU323" s="399"/>
      <c r="EV323" s="399">
        <v>218</v>
      </c>
      <c r="EW323" s="399"/>
      <c r="EX323" s="399"/>
      <c r="EY323" s="399"/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2361</v>
      </c>
      <c r="C324" s="399" t="s">
        <v>2334</v>
      </c>
      <c r="D324" s="399" t="s">
        <v>533</v>
      </c>
      <c r="E324" s="399" t="s">
        <v>890</v>
      </c>
      <c r="F324" s="399" t="s">
        <v>1239</v>
      </c>
      <c r="G324" s="399" t="s">
        <v>1239</v>
      </c>
      <c r="H324" s="399" t="s">
        <v>1239</v>
      </c>
      <c r="I324" s="399" t="s">
        <v>1239</v>
      </c>
      <c r="J324" s="399" t="s">
        <v>2329</v>
      </c>
      <c r="K324" s="789">
        <v>44621</v>
      </c>
      <c r="L324" s="399">
        <v>446</v>
      </c>
      <c r="M324" s="399">
        <v>446</v>
      </c>
      <c r="N324" s="399">
        <v>0</v>
      </c>
      <c r="O324" s="399">
        <v>0</v>
      </c>
      <c r="P324" s="399">
        <v>0</v>
      </c>
      <c r="Q324" s="399">
        <v>0</v>
      </c>
      <c r="R324" s="399">
        <v>35.15</v>
      </c>
      <c r="S324" s="399"/>
      <c r="T324" s="399"/>
      <c r="U324" s="399">
        <v>15676.9</v>
      </c>
      <c r="V324" s="399"/>
      <c r="W324" s="399">
        <v>15676.9</v>
      </c>
      <c r="X324" s="399">
        <v>11444.36</v>
      </c>
      <c r="Y324" s="399">
        <v>0</v>
      </c>
      <c r="Z324" s="399">
        <v>0</v>
      </c>
      <c r="AA324" s="399">
        <v>0</v>
      </c>
      <c r="AB324" s="399">
        <v>0</v>
      </c>
      <c r="AC324" s="399">
        <v>0</v>
      </c>
      <c r="AD324" s="399">
        <v>5945.7924884661052</v>
      </c>
      <c r="AE324" s="399">
        <v>9730.8178406923525</v>
      </c>
      <c r="AF324" s="399"/>
      <c r="AG324" s="399"/>
      <c r="AH324" s="399"/>
      <c r="AI324" s="399">
        <v>0</v>
      </c>
      <c r="AJ324" s="399">
        <v>0</v>
      </c>
      <c r="AK324" s="399">
        <v>0</v>
      </c>
      <c r="AL324" s="399">
        <v>0</v>
      </c>
      <c r="AM324" s="399"/>
      <c r="AN324" s="399">
        <v>0</v>
      </c>
      <c r="AO324" s="399">
        <v>0</v>
      </c>
      <c r="AP324" s="399">
        <v>0</v>
      </c>
      <c r="AQ324" s="399">
        <v>0</v>
      </c>
      <c r="AR324" s="399">
        <v>0</v>
      </c>
      <c r="AS324" s="399"/>
      <c r="AT324" s="399"/>
      <c r="AU324" s="399">
        <v>0</v>
      </c>
      <c r="AV324" s="399">
        <v>0</v>
      </c>
      <c r="AW324" s="399">
        <v>0</v>
      </c>
      <c r="AX324" s="399"/>
      <c r="AY324" s="399"/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/>
      <c r="BG324" s="399">
        <v>0</v>
      </c>
      <c r="BH324" s="399">
        <v>0</v>
      </c>
      <c r="BI324" s="399">
        <v>80.75</v>
      </c>
      <c r="BJ324" s="399">
        <v>372.72</v>
      </c>
      <c r="BK324" s="399">
        <v>5538.36</v>
      </c>
      <c r="BL324" s="399">
        <v>2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0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11444.36</v>
      </c>
      <c r="CJ324" s="399">
        <v>-4232.57</v>
      </c>
      <c r="CK324" s="399"/>
      <c r="CL324" s="399"/>
      <c r="CM324" s="399"/>
      <c r="CN324" s="399"/>
      <c r="CO324" s="399">
        <v>-4232.5399999999991</v>
      </c>
      <c r="CP324" s="399">
        <v>0</v>
      </c>
      <c r="CQ324" s="399">
        <v>31</v>
      </c>
      <c r="CR324" s="399">
        <v>-28.318044624038521</v>
      </c>
      <c r="CS324" s="399">
        <v>0</v>
      </c>
      <c r="CT324" s="399">
        <v>0</v>
      </c>
      <c r="CU324" s="399">
        <v>0</v>
      </c>
      <c r="CV324" s="399">
        <v>0</v>
      </c>
      <c r="CW324" s="399"/>
      <c r="CX324" s="399"/>
      <c r="CY324" s="399"/>
      <c r="CZ324" s="399">
        <v>-28.318044624038521</v>
      </c>
      <c r="DA324" s="399">
        <v>0</v>
      </c>
      <c r="DB324" s="399">
        <v>0</v>
      </c>
      <c r="DC324" s="399"/>
      <c r="DD324" s="399"/>
      <c r="DE324" s="399">
        <v>0</v>
      </c>
      <c r="DF324" s="399">
        <v>0</v>
      </c>
      <c r="DG324" s="399">
        <v>0</v>
      </c>
      <c r="DH324" s="399">
        <v>0</v>
      </c>
      <c r="DI324" s="399">
        <v>0</v>
      </c>
      <c r="DJ324" s="399"/>
      <c r="DK324" s="399">
        <v>0</v>
      </c>
      <c r="DL324" s="399">
        <v>0</v>
      </c>
      <c r="DM324" s="399"/>
      <c r="DN324" s="399">
        <v>0</v>
      </c>
      <c r="DO324" s="399">
        <v>0</v>
      </c>
      <c r="DP324" s="399">
        <v>0</v>
      </c>
      <c r="DQ324" s="399">
        <v>0</v>
      </c>
      <c r="DR324" s="399">
        <v>0</v>
      </c>
      <c r="DS324" s="399"/>
      <c r="DT324" s="399"/>
      <c r="DU324" s="399">
        <v>9730.8178406923525</v>
      </c>
      <c r="DV324" s="399"/>
      <c r="DW324" s="399">
        <v>0</v>
      </c>
      <c r="DX324" s="399">
        <v>0</v>
      </c>
      <c r="DY324" s="399">
        <v>-4232.5399999999991</v>
      </c>
      <c r="DZ324" s="399"/>
      <c r="EA324" s="399">
        <v>0</v>
      </c>
      <c r="EB324" s="399"/>
      <c r="EC324" s="399">
        <v>-4203.9019305413613</v>
      </c>
      <c r="ED324" s="399"/>
      <c r="EE324" s="399">
        <v>0</v>
      </c>
      <c r="EF324" s="399">
        <v>0</v>
      </c>
      <c r="EG324" s="399"/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/>
      <c r="EN324" s="399"/>
      <c r="EO324" s="399">
        <v>0</v>
      </c>
      <c r="EP324" s="399">
        <v>0</v>
      </c>
      <c r="EQ324" s="399"/>
      <c r="ER324" s="399">
        <v>0</v>
      </c>
      <c r="ES324" s="399"/>
      <c r="ET324" s="399">
        <v>0</v>
      </c>
      <c r="EU324" s="399"/>
      <c r="EV324" s="399">
        <v>218</v>
      </c>
      <c r="EW324" s="399"/>
      <c r="EX324" s="399"/>
      <c r="EY324" s="399"/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956</v>
      </c>
      <c r="C325" s="399" t="s">
        <v>2328</v>
      </c>
      <c r="D325" s="399" t="s">
        <v>1826</v>
      </c>
      <c r="E325" s="399" t="s">
        <v>918</v>
      </c>
      <c r="F325" s="399" t="s">
        <v>1239</v>
      </c>
      <c r="G325" s="399" t="s">
        <v>1239</v>
      </c>
      <c r="H325" s="399" t="s">
        <v>1239</v>
      </c>
      <c r="I325" s="399" t="s">
        <v>1239</v>
      </c>
      <c r="J325" s="399" t="s">
        <v>2329</v>
      </c>
      <c r="K325" s="789">
        <v>44621</v>
      </c>
      <c r="L325" s="399">
        <v>0</v>
      </c>
      <c r="M325" s="399">
        <v>0</v>
      </c>
      <c r="N325" s="399">
        <v>239.46899999999999</v>
      </c>
      <c r="O325" s="399">
        <v>239.46899999999999</v>
      </c>
      <c r="P325" s="399">
        <v>239.46899999999999</v>
      </c>
      <c r="Q325" s="399">
        <v>239.46899999999999</v>
      </c>
      <c r="R325" s="399"/>
      <c r="S325" s="399">
        <v>521.86</v>
      </c>
      <c r="T325" s="399">
        <v>141.32</v>
      </c>
      <c r="U325" s="399"/>
      <c r="V325" s="399">
        <v>158811.05142</v>
      </c>
      <c r="W325" s="399">
        <v>158811.05142</v>
      </c>
      <c r="X325" s="399">
        <v>124123.96677</v>
      </c>
      <c r="Y325" s="399">
        <v>0</v>
      </c>
      <c r="Z325" s="399">
        <v>14530.270688881674</v>
      </c>
      <c r="AA325" s="399">
        <v>0</v>
      </c>
      <c r="AB325" s="399">
        <v>0</v>
      </c>
      <c r="AC325" s="399">
        <v>0</v>
      </c>
      <c r="AD325" s="399">
        <v>25755.801464600412</v>
      </c>
      <c r="AE325" s="399">
        <v>77815.641893859982</v>
      </c>
      <c r="AF325" s="399">
        <v>33841.502855829654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2246.6963258160431</v>
      </c>
      <c r="AM325" s="399"/>
      <c r="AN325" s="399">
        <v>332.11157782525436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4287.668021795369</v>
      </c>
      <c r="BH325" s="399">
        <v>0</v>
      </c>
      <c r="BI325" s="399">
        <v>1063.98</v>
      </c>
      <c r="BJ325" s="399">
        <v>4922.9399999999996</v>
      </c>
      <c r="BK325" s="399">
        <v>54003.9</v>
      </c>
      <c r="BL325" s="399">
        <v>587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38129.170877625023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124124.48509999999</v>
      </c>
      <c r="CJ325" s="399">
        <v>-34686.596320000011</v>
      </c>
      <c r="CK325" s="399"/>
      <c r="CL325" s="399"/>
      <c r="CM325" s="399"/>
      <c r="CN325" s="399"/>
      <c r="CO325" s="399">
        <v>-34687.084650000004</v>
      </c>
      <c r="CP325" s="399">
        <v>0</v>
      </c>
      <c r="CQ325" s="399">
        <v>31</v>
      </c>
      <c r="CR325" s="399">
        <v>-1067.0109696848958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-122.66723680953146</v>
      </c>
      <c r="DA325" s="399">
        <v>0</v>
      </c>
      <c r="DB325" s="399">
        <v>0</v>
      </c>
      <c r="DC325" s="399">
        <v>0</v>
      </c>
      <c r="DD325" s="399">
        <v>0</v>
      </c>
      <c r="DE325" s="399">
        <v>0</v>
      </c>
      <c r="DF325" s="399">
        <v>0</v>
      </c>
      <c r="DG325" s="399">
        <v>0</v>
      </c>
      <c r="DH325" s="399">
        <v>0</v>
      </c>
      <c r="DI325" s="399">
        <v>-818.68865084461868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-112.26337679599555</v>
      </c>
      <c r="DP325" s="399">
        <v>-13.391705234752806</v>
      </c>
      <c r="DQ325" s="399">
        <v>0</v>
      </c>
      <c r="DR325" s="399">
        <v>0</v>
      </c>
      <c r="DS325" s="399"/>
      <c r="DT325" s="399"/>
      <c r="DU325" s="399"/>
      <c r="DV325" s="399">
        <v>77815.641893859982</v>
      </c>
      <c r="DW325" s="399">
        <v>0</v>
      </c>
      <c r="DX325" s="399">
        <v>0</v>
      </c>
      <c r="DY325" s="399">
        <v>-34687.084650000004</v>
      </c>
      <c r="DZ325" s="399">
        <v>0</v>
      </c>
      <c r="EA325" s="399">
        <v>0</v>
      </c>
      <c r="EB325" s="399">
        <v>0</v>
      </c>
      <c r="EC325" s="399">
        <v>-33617.86568606006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218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2361</v>
      </c>
      <c r="C326" s="399" t="s">
        <v>2328</v>
      </c>
      <c r="D326" s="399" t="s">
        <v>1826</v>
      </c>
      <c r="E326" s="399" t="s">
        <v>918</v>
      </c>
      <c r="F326" s="399" t="s">
        <v>1239</v>
      </c>
      <c r="G326" s="399" t="s">
        <v>1239</v>
      </c>
      <c r="H326" s="399" t="s">
        <v>1239</v>
      </c>
      <c r="I326" s="399" t="s">
        <v>1239</v>
      </c>
      <c r="J326" s="399" t="s">
        <v>2329</v>
      </c>
      <c r="K326" s="789">
        <v>44621</v>
      </c>
      <c r="L326" s="399">
        <v>0</v>
      </c>
      <c r="M326" s="399">
        <v>0</v>
      </c>
      <c r="N326" s="399">
        <v>7.8159999999999998</v>
      </c>
      <c r="O326" s="399">
        <v>7.8159999999999998</v>
      </c>
      <c r="P326" s="399">
        <v>7.8159999999999998</v>
      </c>
      <c r="Q326" s="399">
        <v>7.8159999999999998</v>
      </c>
      <c r="R326" s="399"/>
      <c r="S326" s="399">
        <v>521.86</v>
      </c>
      <c r="T326" s="399">
        <v>141.32</v>
      </c>
      <c r="U326" s="399"/>
      <c r="V326" s="399">
        <v>5183.4148800000003</v>
      </c>
      <c r="W326" s="399">
        <v>5183.4148800000003</v>
      </c>
      <c r="X326" s="399">
        <v>4051.26728</v>
      </c>
      <c r="Y326" s="399">
        <v>0</v>
      </c>
      <c r="Z326" s="399">
        <v>474.25176412938276</v>
      </c>
      <c r="AA326" s="399">
        <v>0</v>
      </c>
      <c r="AB326" s="399">
        <v>0</v>
      </c>
      <c r="AC326" s="399">
        <v>0</v>
      </c>
      <c r="AD326" s="399">
        <v>840.64051817695326</v>
      </c>
      <c r="AE326" s="399">
        <v>2539.8154126104405</v>
      </c>
      <c r="AF326" s="399">
        <v>1104.5487571300027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73.329652199567349</v>
      </c>
      <c r="AM326" s="399"/>
      <c r="AN326" s="399">
        <v>10.839749998046461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139.94468285395021</v>
      </c>
      <c r="BH326" s="399">
        <v>0</v>
      </c>
      <c r="BI326" s="399">
        <v>34.65</v>
      </c>
      <c r="BJ326" s="399">
        <v>160.74</v>
      </c>
      <c r="BK326" s="399">
        <v>4683.3999999999996</v>
      </c>
      <c r="BL326" s="399">
        <v>30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1244.4934399839531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4053.3406000000004</v>
      </c>
      <c r="CJ326" s="399">
        <v>-1130.1042800000005</v>
      </c>
      <c r="CK326" s="399"/>
      <c r="CL326" s="399"/>
      <c r="CM326" s="399"/>
      <c r="CN326" s="399"/>
      <c r="CO326" s="399">
        <v>-1132.1476000000002</v>
      </c>
      <c r="CP326" s="399">
        <v>0</v>
      </c>
      <c r="CQ326" s="399">
        <v>31</v>
      </c>
      <c r="CR326" s="399">
        <v>-34.826043199984269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-4.0037212453523807</v>
      </c>
      <c r="DA326" s="399">
        <v>0</v>
      </c>
      <c r="DB326" s="399">
        <v>0</v>
      </c>
      <c r="DC326" s="399">
        <v>0</v>
      </c>
      <c r="DD326" s="399">
        <v>0</v>
      </c>
      <c r="DE326" s="399">
        <v>0</v>
      </c>
      <c r="DF326" s="399">
        <v>0</v>
      </c>
      <c r="DG326" s="399">
        <v>0</v>
      </c>
      <c r="DH326" s="399">
        <v>0</v>
      </c>
      <c r="DI326" s="399">
        <v>-26.721080787081178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-3.6641509048666023</v>
      </c>
      <c r="DP326" s="399">
        <v>-0.4370902626846398</v>
      </c>
      <c r="DQ326" s="399">
        <v>0</v>
      </c>
      <c r="DR326" s="399">
        <v>0</v>
      </c>
      <c r="DS326" s="399"/>
      <c r="DT326" s="399"/>
      <c r="DU326" s="399"/>
      <c r="DV326" s="399">
        <v>2539.8154126104405</v>
      </c>
      <c r="DW326" s="399">
        <v>0</v>
      </c>
      <c r="DX326" s="399">
        <v>0</v>
      </c>
      <c r="DY326" s="399">
        <v>-1132.1475999999998</v>
      </c>
      <c r="DZ326" s="399">
        <v>0</v>
      </c>
      <c r="EA326" s="399">
        <v>0</v>
      </c>
      <c r="EB326" s="399">
        <v>0</v>
      </c>
      <c r="EC326" s="399">
        <v>-1097.2494903400666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218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956</v>
      </c>
      <c r="C327" s="399" t="s">
        <v>2334</v>
      </c>
      <c r="D327" s="399" t="s">
        <v>533</v>
      </c>
      <c r="E327" s="399" t="s">
        <v>918</v>
      </c>
      <c r="F327" s="399" t="s">
        <v>1239</v>
      </c>
      <c r="G327" s="399" t="s">
        <v>1239</v>
      </c>
      <c r="H327" s="399" t="s">
        <v>1239</v>
      </c>
      <c r="I327" s="399" t="s">
        <v>893</v>
      </c>
      <c r="J327" s="399" t="s">
        <v>2329</v>
      </c>
      <c r="K327" s="789">
        <v>44621</v>
      </c>
      <c r="L327" s="399">
        <v>0</v>
      </c>
      <c r="M327" s="399">
        <v>0</v>
      </c>
      <c r="N327" s="399">
        <v>1.974</v>
      </c>
      <c r="O327" s="399">
        <v>1.974</v>
      </c>
      <c r="P327" s="399">
        <v>1.974</v>
      </c>
      <c r="Q327" s="399">
        <v>1.974</v>
      </c>
      <c r="R327" s="399"/>
      <c r="S327" s="399">
        <v>2741.05</v>
      </c>
      <c r="T327" s="399">
        <v>141.32</v>
      </c>
      <c r="U327" s="399"/>
      <c r="V327" s="399">
        <v>5689.7983800000002</v>
      </c>
      <c r="W327" s="399">
        <v>5689.7983800000002</v>
      </c>
      <c r="X327" s="399">
        <v>4074.0991199999999</v>
      </c>
      <c r="Y327" s="399">
        <v>0</v>
      </c>
      <c r="Z327" s="399">
        <v>104.20553923752809</v>
      </c>
      <c r="AA327" s="399">
        <v>0</v>
      </c>
      <c r="AB327" s="399">
        <v>0</v>
      </c>
      <c r="AC327" s="399">
        <v>0</v>
      </c>
      <c r="AD327" s="399">
        <v>1566.4903597986995</v>
      </c>
      <c r="AE327" s="399">
        <v>3706.7944458158431</v>
      </c>
      <c r="AF327" s="399">
        <v>278.9635678831404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18.520052896871281</v>
      </c>
      <c r="AM327" s="399"/>
      <c r="AN327" s="399">
        <v>1.185865522143206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13.646179930671646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292.60974781381202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4065.8435999999997</v>
      </c>
      <c r="CJ327" s="399">
        <v>-1623.9847800000011</v>
      </c>
      <c r="CK327" s="399"/>
      <c r="CL327" s="399"/>
      <c r="CM327" s="399"/>
      <c r="CN327" s="399"/>
      <c r="CO327" s="399">
        <v>-1615.6992600000005</v>
      </c>
      <c r="CP327" s="399">
        <v>0</v>
      </c>
      <c r="CQ327" s="399">
        <v>31</v>
      </c>
      <c r="CR327" s="399">
        <v>-14.305281486740114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-7.4607285736958602</v>
      </c>
      <c r="DA327" s="399">
        <v>0</v>
      </c>
      <c r="DB327" s="399">
        <v>0</v>
      </c>
      <c r="DC327" s="399">
        <v>0</v>
      </c>
      <c r="DD327" s="399">
        <v>0</v>
      </c>
      <c r="DE327" s="399">
        <v>0</v>
      </c>
      <c r="DF327" s="399">
        <v>0</v>
      </c>
      <c r="DG327" s="399">
        <v>0</v>
      </c>
      <c r="DH327" s="399">
        <v>0</v>
      </c>
      <c r="DI327" s="399">
        <v>-5.8713216123488934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-0.92541375207352417</v>
      </c>
      <c r="DP327" s="399">
        <v>-4.7817548622034911E-2</v>
      </c>
      <c r="DQ327" s="399">
        <v>0</v>
      </c>
      <c r="DR327" s="399">
        <v>0</v>
      </c>
      <c r="DS327" s="399"/>
      <c r="DT327" s="399"/>
      <c r="DU327" s="399"/>
      <c r="DV327" s="399">
        <v>3706.7944458158431</v>
      </c>
      <c r="DW327" s="399">
        <v>0</v>
      </c>
      <c r="DX327" s="399">
        <v>0</v>
      </c>
      <c r="DY327" s="399">
        <v>-1615.6992599999999</v>
      </c>
      <c r="DZ327" s="399">
        <v>0</v>
      </c>
      <c r="EA327" s="399">
        <v>0</v>
      </c>
      <c r="EB327" s="399">
        <v>0</v>
      </c>
      <c r="EC327" s="399">
        <v>-1601.4070535490068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218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956</v>
      </c>
      <c r="C328" s="399" t="s">
        <v>2334</v>
      </c>
      <c r="D328" s="399" t="s">
        <v>533</v>
      </c>
      <c r="E328" s="399" t="s">
        <v>918</v>
      </c>
      <c r="F328" s="399" t="s">
        <v>1239</v>
      </c>
      <c r="G328" s="399" t="s">
        <v>1239</v>
      </c>
      <c r="H328" s="399" t="s">
        <v>1239</v>
      </c>
      <c r="I328" s="399" t="s">
        <v>2326</v>
      </c>
      <c r="J328" s="399" t="s">
        <v>2329</v>
      </c>
      <c r="K328" s="789">
        <v>44621</v>
      </c>
      <c r="L328" s="399">
        <v>0</v>
      </c>
      <c r="M328" s="399">
        <v>0</v>
      </c>
      <c r="N328" s="399">
        <v>32.405000000000001</v>
      </c>
      <c r="O328" s="399">
        <v>32.405000000000001</v>
      </c>
      <c r="P328" s="399">
        <v>32.405000000000001</v>
      </c>
      <c r="Q328" s="399">
        <v>32.405000000000001</v>
      </c>
      <c r="R328" s="399"/>
      <c r="S328" s="399">
        <v>69.680000000000007</v>
      </c>
      <c r="T328" s="399">
        <v>141.32</v>
      </c>
      <c r="U328" s="399"/>
      <c r="V328" s="399">
        <v>6837.4549999999999</v>
      </c>
      <c r="W328" s="399">
        <v>6837.4549999999999</v>
      </c>
      <c r="X328" s="399">
        <v>6725.3336999999992</v>
      </c>
      <c r="Y328" s="399">
        <v>0</v>
      </c>
      <c r="Z328" s="399">
        <v>1710.6284189422988</v>
      </c>
      <c r="AA328" s="399">
        <v>0</v>
      </c>
      <c r="AB328" s="399">
        <v>0</v>
      </c>
      <c r="AC328" s="399">
        <v>0</v>
      </c>
      <c r="AD328" s="399">
        <v>0</v>
      </c>
      <c r="AE328" s="399">
        <v>0</v>
      </c>
      <c r="AF328" s="399">
        <v>4579.439927686507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304.02346206844675</v>
      </c>
      <c r="AM328" s="399"/>
      <c r="AN328" s="399">
        <v>19.46705787489898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224.01441775755558</v>
      </c>
      <c r="BH328" s="399">
        <v>0</v>
      </c>
      <c r="BI328" s="399">
        <v>0</v>
      </c>
      <c r="BJ328" s="399">
        <v>0</v>
      </c>
      <c r="BK328" s="399">
        <v>0</v>
      </c>
      <c r="BL328" s="399">
        <v>0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4803.4543454440627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6726.3713999999982</v>
      </c>
      <c r="CJ328" s="399">
        <v>-111.11360000000241</v>
      </c>
      <c r="CK328" s="399"/>
      <c r="CL328" s="399"/>
      <c r="CM328" s="399"/>
      <c r="CN328" s="399"/>
      <c r="CO328" s="399">
        <v>-112.12130000000026</v>
      </c>
      <c r="CP328" s="399">
        <v>0</v>
      </c>
      <c r="CQ328" s="399">
        <v>31</v>
      </c>
      <c r="CR328" s="399">
        <v>-112.35954262776431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0</v>
      </c>
      <c r="DA328" s="399">
        <v>0</v>
      </c>
      <c r="DB328" s="399">
        <v>0</v>
      </c>
      <c r="DC328" s="399">
        <v>0</v>
      </c>
      <c r="DD328" s="399">
        <v>0</v>
      </c>
      <c r="DE328" s="399">
        <v>0</v>
      </c>
      <c r="DF328" s="399">
        <v>0</v>
      </c>
      <c r="DG328" s="399">
        <v>0</v>
      </c>
      <c r="DH328" s="399">
        <v>0</v>
      </c>
      <c r="DI328" s="399">
        <v>-96.383068312140722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-15.19150589460105</v>
      </c>
      <c r="DP328" s="399">
        <v>-0.78496842102180509</v>
      </c>
      <c r="DQ328" s="399">
        <v>0</v>
      </c>
      <c r="DR328" s="399">
        <v>0</v>
      </c>
      <c r="DS328" s="399"/>
      <c r="DT328" s="399"/>
      <c r="DU328" s="399"/>
      <c r="DV328" s="399">
        <v>0</v>
      </c>
      <c r="DW328" s="399">
        <v>0</v>
      </c>
      <c r="DX328" s="399">
        <v>0</v>
      </c>
      <c r="DY328" s="399">
        <v>-112.12130000000025</v>
      </c>
      <c r="DZ328" s="399">
        <v>0</v>
      </c>
      <c r="EA328" s="399">
        <v>0</v>
      </c>
      <c r="EB328" s="399">
        <v>0</v>
      </c>
      <c r="EC328" s="399">
        <v>0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218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956</v>
      </c>
      <c r="C329" s="399" t="s">
        <v>2334</v>
      </c>
      <c r="D329" s="399" t="s">
        <v>533</v>
      </c>
      <c r="E329" s="399" t="s">
        <v>918</v>
      </c>
      <c r="F329" s="399" t="s">
        <v>1239</v>
      </c>
      <c r="G329" s="399" t="s">
        <v>1239</v>
      </c>
      <c r="H329" s="399" t="s">
        <v>1239</v>
      </c>
      <c r="I329" s="399" t="s">
        <v>1239</v>
      </c>
      <c r="J329" s="399" t="s">
        <v>2329</v>
      </c>
      <c r="K329" s="789">
        <v>44621</v>
      </c>
      <c r="L329" s="399">
        <v>326</v>
      </c>
      <c r="M329" s="399">
        <v>326</v>
      </c>
      <c r="N329" s="399">
        <v>0</v>
      </c>
      <c r="O329" s="399">
        <v>0</v>
      </c>
      <c r="P329" s="399">
        <v>0</v>
      </c>
      <c r="Q329" s="399">
        <v>0</v>
      </c>
      <c r="R329" s="399">
        <v>35.15</v>
      </c>
      <c r="S329" s="399"/>
      <c r="T329" s="399"/>
      <c r="U329" s="399">
        <v>11458.9</v>
      </c>
      <c r="V329" s="399"/>
      <c r="W329" s="399">
        <v>11458.9</v>
      </c>
      <c r="X329" s="399">
        <v>8365.16</v>
      </c>
      <c r="Y329" s="399">
        <v>0</v>
      </c>
      <c r="Z329" s="399">
        <v>0</v>
      </c>
      <c r="AA329" s="399">
        <v>0</v>
      </c>
      <c r="AB329" s="399">
        <v>0</v>
      </c>
      <c r="AC329" s="399">
        <v>0</v>
      </c>
      <c r="AD329" s="399">
        <v>4346.0276933631176</v>
      </c>
      <c r="AE329" s="399">
        <v>7112.6605741383555</v>
      </c>
      <c r="AF329" s="399"/>
      <c r="AG329" s="399"/>
      <c r="AH329" s="399"/>
      <c r="AI329" s="399">
        <v>0</v>
      </c>
      <c r="AJ329" s="399">
        <v>0</v>
      </c>
      <c r="AK329" s="399">
        <v>0</v>
      </c>
      <c r="AL329" s="399">
        <v>0</v>
      </c>
      <c r="AM329" s="399"/>
      <c r="AN329" s="399">
        <v>0</v>
      </c>
      <c r="AO329" s="399">
        <v>0</v>
      </c>
      <c r="AP329" s="399">
        <v>0</v>
      </c>
      <c r="AQ329" s="399">
        <v>0</v>
      </c>
      <c r="AR329" s="399">
        <v>0</v>
      </c>
      <c r="AS329" s="399"/>
      <c r="AT329" s="399"/>
      <c r="AU329" s="399">
        <v>0</v>
      </c>
      <c r="AV329" s="399">
        <v>0</v>
      </c>
      <c r="AW329" s="399">
        <v>0</v>
      </c>
      <c r="AX329" s="399"/>
      <c r="AY329" s="399"/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/>
      <c r="BG329" s="399">
        <v>0</v>
      </c>
      <c r="BH329" s="399">
        <v>0</v>
      </c>
      <c r="BI329" s="399">
        <v>171.21</v>
      </c>
      <c r="BJ329" s="399">
        <v>790.26</v>
      </c>
      <c r="BK329" s="399">
        <v>8629.7900000000009</v>
      </c>
      <c r="BL329" s="399">
        <v>3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0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8365.16</v>
      </c>
      <c r="CJ329" s="399">
        <v>-3093.7700000000004</v>
      </c>
      <c r="CK329" s="399"/>
      <c r="CL329" s="399"/>
      <c r="CM329" s="399"/>
      <c r="CN329" s="399"/>
      <c r="CO329" s="399">
        <v>-3093.7399999999993</v>
      </c>
      <c r="CP329" s="399">
        <v>0</v>
      </c>
      <c r="CQ329" s="399">
        <v>31</v>
      </c>
      <c r="CR329" s="399">
        <v>-20.698839792458784</v>
      </c>
      <c r="CS329" s="399">
        <v>0</v>
      </c>
      <c r="CT329" s="399">
        <v>0</v>
      </c>
      <c r="CU329" s="399">
        <v>0</v>
      </c>
      <c r="CV329" s="399">
        <v>0</v>
      </c>
      <c r="CW329" s="399"/>
      <c r="CX329" s="399"/>
      <c r="CY329" s="399"/>
      <c r="CZ329" s="399">
        <v>-20.698839792458784</v>
      </c>
      <c r="DA329" s="399">
        <v>0</v>
      </c>
      <c r="DB329" s="399">
        <v>0</v>
      </c>
      <c r="DC329" s="399"/>
      <c r="DD329" s="399"/>
      <c r="DE329" s="399">
        <v>0</v>
      </c>
      <c r="DF329" s="399">
        <v>0</v>
      </c>
      <c r="DG329" s="399">
        <v>0</v>
      </c>
      <c r="DH329" s="399">
        <v>0</v>
      </c>
      <c r="DI329" s="399">
        <v>0</v>
      </c>
      <c r="DJ329" s="399"/>
      <c r="DK329" s="399">
        <v>0</v>
      </c>
      <c r="DL329" s="399">
        <v>0</v>
      </c>
      <c r="DM329" s="399"/>
      <c r="DN329" s="399">
        <v>0</v>
      </c>
      <c r="DO329" s="399">
        <v>0</v>
      </c>
      <c r="DP329" s="399">
        <v>0</v>
      </c>
      <c r="DQ329" s="399">
        <v>0</v>
      </c>
      <c r="DR329" s="399">
        <v>0</v>
      </c>
      <c r="DS329" s="399"/>
      <c r="DT329" s="399"/>
      <c r="DU329" s="399">
        <v>7112.6605741383555</v>
      </c>
      <c r="DV329" s="399"/>
      <c r="DW329" s="399">
        <v>0</v>
      </c>
      <c r="DX329" s="399">
        <v>0</v>
      </c>
      <c r="DY329" s="399">
        <v>-3093.74</v>
      </c>
      <c r="DZ329" s="399"/>
      <c r="EA329" s="399">
        <v>0</v>
      </c>
      <c r="EB329" s="399"/>
      <c r="EC329" s="399">
        <v>-3072.8072407096038</v>
      </c>
      <c r="ED329" s="399"/>
      <c r="EE329" s="399">
        <v>0</v>
      </c>
      <c r="EF329" s="399">
        <v>0</v>
      </c>
      <c r="EG329" s="399"/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/>
      <c r="EN329" s="399"/>
      <c r="EO329" s="399">
        <v>0</v>
      </c>
      <c r="EP329" s="399">
        <v>0</v>
      </c>
      <c r="EQ329" s="399"/>
      <c r="ER329" s="399">
        <v>0</v>
      </c>
      <c r="ES329" s="399"/>
      <c r="ET329" s="399">
        <v>0</v>
      </c>
      <c r="EU329" s="399"/>
      <c r="EV329" s="399">
        <v>218</v>
      </c>
      <c r="EW329" s="399"/>
      <c r="EX329" s="399"/>
      <c r="EY329" s="399"/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956</v>
      </c>
      <c r="C330" s="399" t="s">
        <v>2328</v>
      </c>
      <c r="D330" s="399" t="s">
        <v>2335</v>
      </c>
      <c r="E330" s="399" t="s">
        <v>894</v>
      </c>
      <c r="F330" s="399" t="s">
        <v>1239</v>
      </c>
      <c r="G330" s="399" t="s">
        <v>1239</v>
      </c>
      <c r="H330" s="399" t="s">
        <v>1239</v>
      </c>
      <c r="I330" s="399" t="s">
        <v>1239</v>
      </c>
      <c r="J330" s="399" t="s">
        <v>2329</v>
      </c>
      <c r="K330" s="789">
        <v>44621</v>
      </c>
      <c r="L330" s="399">
        <v>0</v>
      </c>
      <c r="M330" s="399">
        <v>0</v>
      </c>
      <c r="N330" s="399">
        <v>3204.8240000000001</v>
      </c>
      <c r="O330" s="399">
        <v>3204.8240000000001</v>
      </c>
      <c r="P330" s="399">
        <v>3204.8240000000001</v>
      </c>
      <c r="Q330" s="399">
        <v>3204.8240000000001</v>
      </c>
      <c r="R330" s="399"/>
      <c r="S330" s="399">
        <v>521.86</v>
      </c>
      <c r="T330" s="399">
        <v>141.32</v>
      </c>
      <c r="U330" s="399"/>
      <c r="V330" s="399">
        <v>2125375.1803200003</v>
      </c>
      <c r="W330" s="399">
        <v>2125375.1803200003</v>
      </c>
      <c r="X330" s="399">
        <v>1661156.42392</v>
      </c>
      <c r="Y330" s="399">
        <v>0</v>
      </c>
      <c r="Z330" s="399">
        <v>194459.24203226523</v>
      </c>
      <c r="AA330" s="399">
        <v>0</v>
      </c>
      <c r="AB330" s="399">
        <v>0</v>
      </c>
      <c r="AC330" s="399">
        <v>0</v>
      </c>
      <c r="AD330" s="399">
        <v>344691.00665633776</v>
      </c>
      <c r="AE330" s="399">
        <v>1041410.1061801233</v>
      </c>
      <c r="AF330" s="399">
        <v>452902.29862082953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30067.63424780274</v>
      </c>
      <c r="AM330" s="399"/>
      <c r="AN330" s="399">
        <v>4444.6636320034868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57382.04686319449</v>
      </c>
      <c r="BH330" s="399">
        <v>0</v>
      </c>
      <c r="BI330" s="399">
        <v>14250.1</v>
      </c>
      <c r="BJ330" s="399">
        <v>65894.67</v>
      </c>
      <c r="BK330" s="399">
        <v>507659.5</v>
      </c>
      <c r="BL330" s="399">
        <v>5590</v>
      </c>
      <c r="BM330" s="399"/>
      <c r="BN330" s="399"/>
      <c r="BO330" s="399"/>
      <c r="BP330" s="399"/>
      <c r="BQ330" s="399"/>
      <c r="BR330" s="399">
        <v>199340.0528</v>
      </c>
      <c r="BS330" s="399"/>
      <c r="BT330" s="399"/>
      <c r="BU330" s="399"/>
      <c r="BV330" s="399">
        <v>510284.34548402403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1461814.5466</v>
      </c>
      <c r="CJ330" s="399">
        <v>-408488.72156000021</v>
      </c>
      <c r="CK330" s="399"/>
      <c r="CL330" s="399"/>
      <c r="CM330" s="399"/>
      <c r="CN330" s="399"/>
      <c r="CO330" s="399">
        <v>-464218.75640000007</v>
      </c>
      <c r="CP330" s="399">
        <v>0</v>
      </c>
      <c r="CQ330" s="399">
        <v>31</v>
      </c>
      <c r="CR330" s="399">
        <v>-14279.854026656598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-1641.6609437583247</v>
      </c>
      <c r="DA330" s="399">
        <v>0</v>
      </c>
      <c r="DB330" s="399">
        <v>0</v>
      </c>
      <c r="DC330" s="399">
        <v>0</v>
      </c>
      <c r="DD330" s="399">
        <v>0</v>
      </c>
      <c r="DE330" s="399">
        <v>0</v>
      </c>
      <c r="DF330" s="399">
        <v>0</v>
      </c>
      <c r="DG330" s="399">
        <v>0</v>
      </c>
      <c r="DH330" s="399">
        <v>0</v>
      </c>
      <c r="DI330" s="399">
        <v>-10956.545677120856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-1502.4256345366157</v>
      </c>
      <c r="DP330" s="399">
        <v>-179.2217712407928</v>
      </c>
      <c r="DQ330" s="399">
        <v>0</v>
      </c>
      <c r="DR330" s="399">
        <v>0</v>
      </c>
      <c r="DS330" s="399"/>
      <c r="DT330" s="399"/>
      <c r="DU330" s="399"/>
      <c r="DV330" s="399">
        <v>1041410.1061801233</v>
      </c>
      <c r="DW330" s="399">
        <v>0</v>
      </c>
      <c r="DX330" s="399">
        <v>0</v>
      </c>
      <c r="DY330" s="399">
        <v>-464218.75640000007</v>
      </c>
      <c r="DZ330" s="399">
        <v>0</v>
      </c>
      <c r="EA330" s="399">
        <v>0</v>
      </c>
      <c r="EB330" s="399">
        <v>0</v>
      </c>
      <c r="EC330" s="399">
        <v>-449909.35269058531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218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2360</v>
      </c>
      <c r="C331" s="399" t="s">
        <v>2328</v>
      </c>
      <c r="D331" s="399" t="s">
        <v>2335</v>
      </c>
      <c r="E331" s="399" t="s">
        <v>894</v>
      </c>
      <c r="F331" s="399" t="s">
        <v>1239</v>
      </c>
      <c r="G331" s="399" t="s">
        <v>1239</v>
      </c>
      <c r="H331" s="399" t="s">
        <v>1239</v>
      </c>
      <c r="I331" s="399" t="s">
        <v>1239</v>
      </c>
      <c r="J331" s="399" t="s">
        <v>2329</v>
      </c>
      <c r="K331" s="789">
        <v>44621</v>
      </c>
      <c r="L331" s="399">
        <v>0</v>
      </c>
      <c r="M331" s="399">
        <v>0</v>
      </c>
      <c r="N331" s="399">
        <v>-7.67</v>
      </c>
      <c r="O331" s="399">
        <v>-7.67</v>
      </c>
      <c r="P331" s="399">
        <v>-7.67</v>
      </c>
      <c r="Q331" s="399">
        <v>-7.67</v>
      </c>
      <c r="R331" s="399"/>
      <c r="S331" s="399">
        <v>521.86</v>
      </c>
      <c r="T331" s="399">
        <v>141.32</v>
      </c>
      <c r="U331" s="399"/>
      <c r="V331" s="399">
        <v>-5086.5905999999995</v>
      </c>
      <c r="W331" s="399">
        <v>-5086.5905999999995</v>
      </c>
      <c r="X331" s="399">
        <v>-3975.5910999999996</v>
      </c>
      <c r="Y331" s="399">
        <v>0</v>
      </c>
      <c r="Z331" s="399">
        <v>-465.39291592532828</v>
      </c>
      <c r="AA331" s="399">
        <v>0</v>
      </c>
      <c r="AB331" s="399">
        <v>0</v>
      </c>
      <c r="AC331" s="399">
        <v>0</v>
      </c>
      <c r="AD331" s="399">
        <v>-824.93766305235818</v>
      </c>
      <c r="AE331" s="399">
        <v>-2492.372596561167</v>
      </c>
      <c r="AF331" s="399">
        <v>-1083.9161933453327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-71.959881316617398</v>
      </c>
      <c r="AM331" s="399"/>
      <c r="AN331" s="399">
        <v>-10.637267462259002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-137.33056774434468</v>
      </c>
      <c r="BH331" s="399">
        <v>0</v>
      </c>
      <c r="BI331" s="399">
        <v>-34.17</v>
      </c>
      <c r="BJ331" s="399">
        <v>-157.66999999999999</v>
      </c>
      <c r="BK331" s="399">
        <v>-1551.18</v>
      </c>
      <c r="BL331" s="399">
        <v>0</v>
      </c>
      <c r="BM331" s="399"/>
      <c r="BN331" s="399"/>
      <c r="BO331" s="399"/>
      <c r="BP331" s="399"/>
      <c r="BQ331" s="399"/>
      <c r="BR331" s="399">
        <v>-477.07400000000007</v>
      </c>
      <c r="BS331" s="399"/>
      <c r="BT331" s="399"/>
      <c r="BU331" s="399"/>
      <c r="BV331" s="399">
        <v>-1221.2467610896774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-3498.5170999999996</v>
      </c>
      <c r="CJ331" s="399">
        <v>977.58819999999969</v>
      </c>
      <c r="CK331" s="399"/>
      <c r="CL331" s="399"/>
      <c r="CM331" s="399"/>
      <c r="CN331" s="399"/>
      <c r="CO331" s="399">
        <v>1110.9995000000001</v>
      </c>
      <c r="CP331" s="399">
        <v>0</v>
      </c>
      <c r="CQ331" s="399">
        <v>31</v>
      </c>
      <c r="CR331" s="399">
        <v>34.17550554553236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3.9289332077599965</v>
      </c>
      <c r="DA331" s="399">
        <v>0</v>
      </c>
      <c r="DB331" s="399">
        <v>0</v>
      </c>
      <c r="DC331" s="399">
        <v>0</v>
      </c>
      <c r="DD331" s="399">
        <v>0</v>
      </c>
      <c r="DE331" s="399">
        <v>0</v>
      </c>
      <c r="DF331" s="399">
        <v>0</v>
      </c>
      <c r="DG331" s="399">
        <v>0</v>
      </c>
      <c r="DH331" s="399">
        <v>0</v>
      </c>
      <c r="DI331" s="399">
        <v>26.221940844026676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3.5957059161114131</v>
      </c>
      <c r="DP331" s="399">
        <v>0.42892557763449268</v>
      </c>
      <c r="DQ331" s="399">
        <v>0</v>
      </c>
      <c r="DR331" s="399">
        <v>0</v>
      </c>
      <c r="DS331" s="399"/>
      <c r="DT331" s="399"/>
      <c r="DU331" s="399"/>
      <c r="DV331" s="399">
        <v>-2492.372596561167</v>
      </c>
      <c r="DW331" s="399">
        <v>0</v>
      </c>
      <c r="DX331" s="399">
        <v>0</v>
      </c>
      <c r="DY331" s="399">
        <v>1110.9995000000004</v>
      </c>
      <c r="DZ331" s="399">
        <v>0</v>
      </c>
      <c r="EA331" s="399">
        <v>0</v>
      </c>
      <c r="EB331" s="399">
        <v>0</v>
      </c>
      <c r="EC331" s="399">
        <v>1076.7532741694363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218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2361</v>
      </c>
      <c r="C332" s="399" t="s">
        <v>2328</v>
      </c>
      <c r="D332" s="399" t="s">
        <v>2335</v>
      </c>
      <c r="E332" s="399" t="s">
        <v>894</v>
      </c>
      <c r="F332" s="399" t="s">
        <v>1239</v>
      </c>
      <c r="G332" s="399" t="s">
        <v>1239</v>
      </c>
      <c r="H332" s="399" t="s">
        <v>1239</v>
      </c>
      <c r="I332" s="399" t="s">
        <v>1239</v>
      </c>
      <c r="J332" s="399" t="s">
        <v>2329</v>
      </c>
      <c r="K332" s="789">
        <v>44621</v>
      </c>
      <c r="L332" s="399">
        <v>0</v>
      </c>
      <c r="M332" s="399">
        <v>0</v>
      </c>
      <c r="N332" s="399">
        <v>316.67200000000003</v>
      </c>
      <c r="O332" s="399">
        <v>316.67200000000003</v>
      </c>
      <c r="P332" s="399">
        <v>316.67200000000003</v>
      </c>
      <c r="Q332" s="399">
        <v>316.67200000000003</v>
      </c>
      <c r="R332" s="399"/>
      <c r="S332" s="399">
        <v>521.86</v>
      </c>
      <c r="T332" s="399">
        <v>141.32</v>
      </c>
      <c r="U332" s="399"/>
      <c r="V332" s="399">
        <v>210010.53696</v>
      </c>
      <c r="W332" s="399">
        <v>210010.53696</v>
      </c>
      <c r="X332" s="399">
        <v>164140.59776</v>
      </c>
      <c r="Y332" s="399">
        <v>0</v>
      </c>
      <c r="Z332" s="399">
        <v>19214.720400509203</v>
      </c>
      <c r="AA332" s="399">
        <v>0</v>
      </c>
      <c r="AB332" s="399">
        <v>0</v>
      </c>
      <c r="AC332" s="399">
        <v>0</v>
      </c>
      <c r="AD332" s="399">
        <v>34059.277657642291</v>
      </c>
      <c r="AE332" s="399">
        <v>102902.81810928526</v>
      </c>
      <c r="AF332" s="399">
        <v>44751.748211089078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2971.0142811337505</v>
      </c>
      <c r="AM332" s="399"/>
      <c r="AN332" s="399">
        <v>439.18184638963271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5669.9798629383477</v>
      </c>
      <c r="BH332" s="399">
        <v>0</v>
      </c>
      <c r="BI332" s="399">
        <v>1408.44</v>
      </c>
      <c r="BJ332" s="399">
        <v>6512.15</v>
      </c>
      <c r="BK332" s="399">
        <v>124503.41</v>
      </c>
      <c r="BL332" s="399">
        <v>583</v>
      </c>
      <c r="BM332" s="399"/>
      <c r="BN332" s="399"/>
      <c r="BO332" s="399"/>
      <c r="BP332" s="399"/>
      <c r="BQ332" s="399"/>
      <c r="BR332" s="399">
        <v>19696.998400000004</v>
      </c>
      <c r="BS332" s="399"/>
      <c r="BT332" s="399"/>
      <c r="BU332" s="399"/>
      <c r="BV332" s="399">
        <v>50421.728074027429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144442.68709999998</v>
      </c>
      <c r="CJ332" s="399">
        <v>-40363.955380000058</v>
      </c>
      <c r="CK332" s="399"/>
      <c r="CL332" s="399"/>
      <c r="CM332" s="399"/>
      <c r="CN332" s="399"/>
      <c r="CO332" s="399">
        <v>-45869.939200000008</v>
      </c>
      <c r="CP332" s="399">
        <v>0</v>
      </c>
      <c r="CQ332" s="399">
        <v>31</v>
      </c>
      <c r="CR332" s="399">
        <v>-1411.007261031933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-162.2142290440388</v>
      </c>
      <c r="DA332" s="399">
        <v>0</v>
      </c>
      <c r="DB332" s="399">
        <v>0</v>
      </c>
      <c r="DC332" s="399">
        <v>0</v>
      </c>
      <c r="DD332" s="399">
        <v>0</v>
      </c>
      <c r="DE332" s="399">
        <v>0</v>
      </c>
      <c r="DF332" s="399">
        <v>0</v>
      </c>
      <c r="DG332" s="399">
        <v>0</v>
      </c>
      <c r="DH332" s="399">
        <v>0</v>
      </c>
      <c r="DI332" s="399">
        <v>-1082.6276989517137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-148.45624300741019</v>
      </c>
      <c r="DP332" s="399">
        <v>-17.709090028770504</v>
      </c>
      <c r="DQ332" s="399">
        <v>0</v>
      </c>
      <c r="DR332" s="399">
        <v>0</v>
      </c>
      <c r="DS332" s="399"/>
      <c r="DT332" s="399"/>
      <c r="DU332" s="399"/>
      <c r="DV332" s="399">
        <v>102902.81810928526</v>
      </c>
      <c r="DW332" s="399">
        <v>0</v>
      </c>
      <c r="DX332" s="399">
        <v>0</v>
      </c>
      <c r="DY332" s="399">
        <v>-45869.939200000008</v>
      </c>
      <c r="DZ332" s="399">
        <v>0</v>
      </c>
      <c r="EA332" s="399">
        <v>0</v>
      </c>
      <c r="EB332" s="399">
        <v>0</v>
      </c>
      <c r="EC332" s="399">
        <v>-44456.01210401352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218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956</v>
      </c>
      <c r="C333" s="399" t="s">
        <v>2334</v>
      </c>
      <c r="D333" s="399" t="s">
        <v>533</v>
      </c>
      <c r="E333" s="399" t="s">
        <v>894</v>
      </c>
      <c r="F333" s="399" t="s">
        <v>1239</v>
      </c>
      <c r="G333" s="399" t="s">
        <v>1239</v>
      </c>
      <c r="H333" s="399" t="s">
        <v>1239</v>
      </c>
      <c r="I333" s="399" t="s">
        <v>893</v>
      </c>
      <c r="J333" s="399" t="s">
        <v>2329</v>
      </c>
      <c r="K333" s="789">
        <v>44621</v>
      </c>
      <c r="L333" s="399">
        <v>0</v>
      </c>
      <c r="M333" s="399">
        <v>0</v>
      </c>
      <c r="N333" s="399">
        <v>1.9279999999999999</v>
      </c>
      <c r="O333" s="399">
        <v>1.8508800000000001</v>
      </c>
      <c r="P333" s="399">
        <v>1.9279999999999999</v>
      </c>
      <c r="Q333" s="399">
        <v>1.8508800000000001</v>
      </c>
      <c r="R333" s="399"/>
      <c r="S333" s="399">
        <v>2741.05</v>
      </c>
      <c r="T333" s="399">
        <v>141.32</v>
      </c>
      <c r="U333" s="399"/>
      <c r="V333" s="399">
        <v>5557.2093600000007</v>
      </c>
      <c r="W333" s="399">
        <v>5557.2093600000007</v>
      </c>
      <c r="X333" s="399">
        <v>3979.1606399999996</v>
      </c>
      <c r="Y333" s="399">
        <v>0</v>
      </c>
      <c r="Z333" s="399">
        <v>101.77724399693726</v>
      </c>
      <c r="AA333" s="399">
        <v>0</v>
      </c>
      <c r="AB333" s="399">
        <v>0</v>
      </c>
      <c r="AC333" s="399">
        <v>0</v>
      </c>
      <c r="AD333" s="399">
        <v>1529.9865317588108</v>
      </c>
      <c r="AE333" s="399">
        <v>3620.4152439376621</v>
      </c>
      <c r="AF333" s="399">
        <v>272.462897101669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18.088481248818557</v>
      </c>
      <c r="AM333" s="399"/>
      <c r="AN333" s="399">
        <v>1.1582313711712771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13.328183843128134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>
        <v>159.16642559999968</v>
      </c>
      <c r="BS333" s="399"/>
      <c r="BT333" s="399"/>
      <c r="BU333" s="399"/>
      <c r="BV333" s="399">
        <v>285.79108094479716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3818.1779999999999</v>
      </c>
      <c r="CJ333" s="399">
        <v>-1516.7729856000014</v>
      </c>
      <c r="CK333" s="399"/>
      <c r="CL333" s="399"/>
      <c r="CM333" s="399"/>
      <c r="CN333" s="399"/>
      <c r="CO333" s="399">
        <v>-1578.0487200000005</v>
      </c>
      <c r="CP333" s="399">
        <v>0</v>
      </c>
      <c r="CQ333" s="399">
        <v>31</v>
      </c>
      <c r="CR333" s="399">
        <v>-13.971926396370463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-7.2868716768416562</v>
      </c>
      <c r="DA333" s="399">
        <v>0</v>
      </c>
      <c r="DB333" s="399">
        <v>0</v>
      </c>
      <c r="DC333" s="399">
        <v>0</v>
      </c>
      <c r="DD333" s="399">
        <v>0</v>
      </c>
      <c r="DE333" s="399">
        <v>0</v>
      </c>
      <c r="DF333" s="399">
        <v>0</v>
      </c>
      <c r="DG333" s="399">
        <v>0</v>
      </c>
      <c r="DH333" s="399">
        <v>0</v>
      </c>
      <c r="DI333" s="399">
        <v>-5.7345025676842312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-0.90384889260271351</v>
      </c>
      <c r="DP333" s="399">
        <v>-4.6703259241784867E-2</v>
      </c>
      <c r="DQ333" s="399">
        <v>0</v>
      </c>
      <c r="DR333" s="399">
        <v>0</v>
      </c>
      <c r="DS333" s="399"/>
      <c r="DT333" s="399"/>
      <c r="DU333" s="399"/>
      <c r="DV333" s="399">
        <v>3620.4152439376621</v>
      </c>
      <c r="DW333" s="399">
        <v>0</v>
      </c>
      <c r="DX333" s="399">
        <v>0</v>
      </c>
      <c r="DY333" s="399">
        <v>-1578.0487200000007</v>
      </c>
      <c r="DZ333" s="399">
        <v>0</v>
      </c>
      <c r="EA333" s="399">
        <v>0</v>
      </c>
      <c r="EB333" s="399">
        <v>0</v>
      </c>
      <c r="EC333" s="399">
        <v>-1564.0895639526266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218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2361</v>
      </c>
      <c r="C334" s="399" t="s">
        <v>2334</v>
      </c>
      <c r="D334" s="399" t="s">
        <v>533</v>
      </c>
      <c r="E334" s="399" t="s">
        <v>894</v>
      </c>
      <c r="F334" s="399" t="s">
        <v>1239</v>
      </c>
      <c r="G334" s="399" t="s">
        <v>1239</v>
      </c>
      <c r="H334" s="399" t="s">
        <v>1239</v>
      </c>
      <c r="I334" s="399" t="s">
        <v>893</v>
      </c>
      <c r="J334" s="399" t="s">
        <v>2329</v>
      </c>
      <c r="K334" s="789">
        <v>44621</v>
      </c>
      <c r="L334" s="399">
        <v>0</v>
      </c>
      <c r="M334" s="399">
        <v>0</v>
      </c>
      <c r="N334" s="399">
        <v>3.9529999999999998</v>
      </c>
      <c r="O334" s="399">
        <v>3.79488</v>
      </c>
      <c r="P334" s="399">
        <v>3.9529999999999998</v>
      </c>
      <c r="Q334" s="399">
        <v>3.79488</v>
      </c>
      <c r="R334" s="399"/>
      <c r="S334" s="399">
        <v>2741.05</v>
      </c>
      <c r="T334" s="399">
        <v>141.32</v>
      </c>
      <c r="U334" s="399"/>
      <c r="V334" s="399">
        <v>11394.008610000001</v>
      </c>
      <c r="W334" s="399">
        <v>11394.008610000001</v>
      </c>
      <c r="X334" s="399">
        <v>8158.5176399999991</v>
      </c>
      <c r="Y334" s="399">
        <v>0</v>
      </c>
      <c r="Z334" s="399">
        <v>208.67502360990301</v>
      </c>
      <c r="AA334" s="399">
        <v>0</v>
      </c>
      <c r="AB334" s="399">
        <v>0</v>
      </c>
      <c r="AC334" s="399">
        <v>0</v>
      </c>
      <c r="AD334" s="399">
        <v>3136.9485269930392</v>
      </c>
      <c r="AE334" s="399">
        <v>7422.9779353140966</v>
      </c>
      <c r="AF334" s="399">
        <v>558.6337304164407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37.087015755487421</v>
      </c>
      <c r="AM334" s="399"/>
      <c r="AN334" s="399">
        <v>2.3747347563485777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27.326924653467589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>
        <v>326.34070559999964</v>
      </c>
      <c r="BS334" s="399"/>
      <c r="BT334" s="399"/>
      <c r="BU334" s="399"/>
      <c r="BV334" s="399">
        <v>585.96065506990828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7822.1052</v>
      </c>
      <c r="CJ334" s="399">
        <v>-3116.1730656000018</v>
      </c>
      <c r="CK334" s="399"/>
      <c r="CL334" s="399"/>
      <c r="CM334" s="399"/>
      <c r="CN334" s="399"/>
      <c r="CO334" s="399">
        <v>-3235.4909700000007</v>
      </c>
      <c r="CP334" s="399">
        <v>0</v>
      </c>
      <c r="CQ334" s="399">
        <v>31</v>
      </c>
      <c r="CR334" s="399">
        <v>-28.646797222434088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-14.940354636180473</v>
      </c>
      <c r="DA334" s="399">
        <v>0</v>
      </c>
      <c r="DB334" s="399">
        <v>0</v>
      </c>
      <c r="DC334" s="399">
        <v>0</v>
      </c>
      <c r="DD334" s="399">
        <v>0</v>
      </c>
      <c r="DE334" s="399">
        <v>0</v>
      </c>
      <c r="DF334" s="399">
        <v>0</v>
      </c>
      <c r="DG334" s="399">
        <v>0</v>
      </c>
      <c r="DH334" s="399">
        <v>0</v>
      </c>
      <c r="DI334" s="399">
        <v>-11.757514859987424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-1.8531715106112614</v>
      </c>
      <c r="DP334" s="399">
        <v>-9.5756215654966503E-2</v>
      </c>
      <c r="DQ334" s="399">
        <v>0</v>
      </c>
      <c r="DR334" s="399">
        <v>0</v>
      </c>
      <c r="DS334" s="399"/>
      <c r="DT334" s="399"/>
      <c r="DU334" s="399"/>
      <c r="DV334" s="399">
        <v>7422.9779353140966</v>
      </c>
      <c r="DW334" s="399">
        <v>0</v>
      </c>
      <c r="DX334" s="399">
        <v>0</v>
      </c>
      <c r="DY334" s="399">
        <v>-3235.4909700000017</v>
      </c>
      <c r="DZ334" s="399">
        <v>0</v>
      </c>
      <c r="EA334" s="399">
        <v>0</v>
      </c>
      <c r="EB334" s="399">
        <v>0</v>
      </c>
      <c r="EC334" s="399">
        <v>-3206.8703559671858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218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956</v>
      </c>
      <c r="C335" s="399" t="s">
        <v>2334</v>
      </c>
      <c r="D335" s="399" t="s">
        <v>533</v>
      </c>
      <c r="E335" s="399" t="s">
        <v>894</v>
      </c>
      <c r="F335" s="399" t="s">
        <v>1239</v>
      </c>
      <c r="G335" s="399" t="s">
        <v>1239</v>
      </c>
      <c r="H335" s="399" t="s">
        <v>1239</v>
      </c>
      <c r="I335" s="399" t="s">
        <v>2326</v>
      </c>
      <c r="J335" s="399" t="s">
        <v>2329</v>
      </c>
      <c r="K335" s="789">
        <v>44621</v>
      </c>
      <c r="L335" s="399">
        <v>0</v>
      </c>
      <c r="M335" s="399">
        <v>0</v>
      </c>
      <c r="N335" s="399">
        <v>18.538</v>
      </c>
      <c r="O335" s="399">
        <v>17.796479999999999</v>
      </c>
      <c r="P335" s="399">
        <v>18.538</v>
      </c>
      <c r="Q335" s="399">
        <v>17.796479999999999</v>
      </c>
      <c r="R335" s="399"/>
      <c r="S335" s="399">
        <v>69.680000000000007</v>
      </c>
      <c r="T335" s="399">
        <v>141.32</v>
      </c>
      <c r="U335" s="399"/>
      <c r="V335" s="399">
        <v>3911.518</v>
      </c>
      <c r="W335" s="399">
        <v>3911.518</v>
      </c>
      <c r="X335" s="399">
        <v>3847.3765199999998</v>
      </c>
      <c r="Y335" s="399">
        <v>0</v>
      </c>
      <c r="Z335" s="399">
        <v>978.60298195810321</v>
      </c>
      <c r="AA335" s="399">
        <v>0</v>
      </c>
      <c r="AB335" s="399">
        <v>0</v>
      </c>
      <c r="AC335" s="399">
        <v>0</v>
      </c>
      <c r="AD335" s="399">
        <v>0</v>
      </c>
      <c r="AE335" s="399">
        <v>0</v>
      </c>
      <c r="AF335" s="399">
        <v>2619.7703249329566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173.92337416524813</v>
      </c>
      <c r="AM335" s="399"/>
      <c r="AN335" s="399">
        <v>11.136562841687311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128.15242328003598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>
        <v>153.89506080000027</v>
      </c>
      <c r="BS335" s="399"/>
      <c r="BT335" s="399"/>
      <c r="BU335" s="399"/>
      <c r="BV335" s="399">
        <v>2747.9227482129927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3694.2120000000004</v>
      </c>
      <c r="CJ335" s="399">
        <v>-60.875279999999748</v>
      </c>
      <c r="CK335" s="399"/>
      <c r="CL335" s="399"/>
      <c r="CM335" s="399"/>
      <c r="CN335" s="399"/>
      <c r="CO335" s="399">
        <v>-64.141480000000143</v>
      </c>
      <c r="CP335" s="399">
        <v>0</v>
      </c>
      <c r="CQ335" s="399">
        <v>31</v>
      </c>
      <c r="CR335" s="399">
        <v>-64.277771986838161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</v>
      </c>
      <c r="DA335" s="399">
        <v>0</v>
      </c>
      <c r="DB335" s="399">
        <v>0</v>
      </c>
      <c r="DC335" s="399">
        <v>0</v>
      </c>
      <c r="DD335" s="399">
        <v>0</v>
      </c>
      <c r="DE335" s="399">
        <v>0</v>
      </c>
      <c r="DF335" s="399">
        <v>0</v>
      </c>
      <c r="DG335" s="399">
        <v>0</v>
      </c>
      <c r="DH335" s="399">
        <v>0</v>
      </c>
      <c r="DI335" s="399">
        <v>-55.138074999860009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-8.6906383667370619</v>
      </c>
      <c r="DP335" s="399">
        <v>-0.44905862024077337</v>
      </c>
      <c r="DQ335" s="399">
        <v>0</v>
      </c>
      <c r="DR335" s="399">
        <v>0</v>
      </c>
      <c r="DS335" s="399"/>
      <c r="DT335" s="399"/>
      <c r="DU335" s="399"/>
      <c r="DV335" s="399">
        <v>0</v>
      </c>
      <c r="DW335" s="399">
        <v>0</v>
      </c>
      <c r="DX335" s="399">
        <v>0</v>
      </c>
      <c r="DY335" s="399">
        <v>-64.141480000000229</v>
      </c>
      <c r="DZ335" s="399">
        <v>0</v>
      </c>
      <c r="EA335" s="399">
        <v>0</v>
      </c>
      <c r="EB335" s="399">
        <v>0</v>
      </c>
      <c r="EC335" s="399">
        <v>0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218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2361</v>
      </c>
      <c r="C336" s="399" t="s">
        <v>2334</v>
      </c>
      <c r="D336" s="399" t="s">
        <v>533</v>
      </c>
      <c r="E336" s="399" t="s">
        <v>894</v>
      </c>
      <c r="F336" s="399" t="s">
        <v>1239</v>
      </c>
      <c r="G336" s="399" t="s">
        <v>1239</v>
      </c>
      <c r="H336" s="399" t="s">
        <v>1239</v>
      </c>
      <c r="I336" s="399" t="s">
        <v>2326</v>
      </c>
      <c r="J336" s="399" t="s">
        <v>2329</v>
      </c>
      <c r="K336" s="789">
        <v>44621</v>
      </c>
      <c r="L336" s="399">
        <v>0</v>
      </c>
      <c r="M336" s="399">
        <v>0</v>
      </c>
      <c r="N336" s="399">
        <v>47.869</v>
      </c>
      <c r="O336" s="399">
        <v>45.954239999999999</v>
      </c>
      <c r="P336" s="399">
        <v>47.869</v>
      </c>
      <c r="Q336" s="399">
        <v>45.954239999999999</v>
      </c>
      <c r="R336" s="399"/>
      <c r="S336" s="399">
        <v>69.680000000000007</v>
      </c>
      <c r="T336" s="399">
        <v>141.32</v>
      </c>
      <c r="U336" s="399"/>
      <c r="V336" s="399">
        <v>10100.359</v>
      </c>
      <c r="W336" s="399">
        <v>10100.359</v>
      </c>
      <c r="X336" s="399">
        <v>9934.7322599999989</v>
      </c>
      <c r="Y336" s="399">
        <v>0</v>
      </c>
      <c r="Z336" s="399">
        <v>2526.9579319965715</v>
      </c>
      <c r="AA336" s="399">
        <v>0</v>
      </c>
      <c r="AB336" s="399">
        <v>0</v>
      </c>
      <c r="AC336" s="399">
        <v>0</v>
      </c>
      <c r="AD336" s="399">
        <v>0</v>
      </c>
      <c r="AE336" s="399">
        <v>0</v>
      </c>
      <c r="AF336" s="399">
        <v>6764.7958617011382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449.1065917529541</v>
      </c>
      <c r="AM336" s="399"/>
      <c r="AN336" s="399">
        <v>28.756938540766527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330.91640683957502</v>
      </c>
      <c r="BH336" s="399">
        <v>0</v>
      </c>
      <c r="BI336" s="399">
        <v>0</v>
      </c>
      <c r="BJ336" s="399">
        <v>0</v>
      </c>
      <c r="BK336" s="399">
        <v>0</v>
      </c>
      <c r="BL336" s="399">
        <v>0</v>
      </c>
      <c r="BM336" s="399"/>
      <c r="BN336" s="399"/>
      <c r="BO336" s="399"/>
      <c r="BP336" s="399"/>
      <c r="BQ336" s="399"/>
      <c r="BR336" s="399">
        <v>397.38929040000022</v>
      </c>
      <c r="BS336" s="399"/>
      <c r="BT336" s="399"/>
      <c r="BU336" s="399"/>
      <c r="BV336" s="399">
        <v>7095.712268540713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9536.4629999999997</v>
      </c>
      <c r="CJ336" s="399">
        <v>-159.91164000000026</v>
      </c>
      <c r="CK336" s="399"/>
      <c r="CL336" s="399"/>
      <c r="CM336" s="399"/>
      <c r="CN336" s="399"/>
      <c r="CO336" s="399">
        <v>-165.62674000000038</v>
      </c>
      <c r="CP336" s="399">
        <v>0</v>
      </c>
      <c r="CQ336" s="399">
        <v>31</v>
      </c>
      <c r="CR336" s="399">
        <v>-165.97867446531018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0</v>
      </c>
      <c r="DA336" s="399">
        <v>0</v>
      </c>
      <c r="DB336" s="399">
        <v>0</v>
      </c>
      <c r="DC336" s="399">
        <v>0</v>
      </c>
      <c r="DD336" s="399">
        <v>0</v>
      </c>
      <c r="DE336" s="399">
        <v>0</v>
      </c>
      <c r="DF336" s="399">
        <v>0</v>
      </c>
      <c r="DG336" s="399">
        <v>0</v>
      </c>
      <c r="DH336" s="399">
        <v>0</v>
      </c>
      <c r="DI336" s="399">
        <v>-142.37806193593178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-22.441049087136548</v>
      </c>
      <c r="DP336" s="399">
        <v>-1.1595634422432575</v>
      </c>
      <c r="DQ336" s="399">
        <v>0</v>
      </c>
      <c r="DR336" s="399">
        <v>0</v>
      </c>
      <c r="DS336" s="399"/>
      <c r="DT336" s="399"/>
      <c r="DU336" s="399"/>
      <c r="DV336" s="399">
        <v>0</v>
      </c>
      <c r="DW336" s="399">
        <v>0</v>
      </c>
      <c r="DX336" s="399">
        <v>0</v>
      </c>
      <c r="DY336" s="399">
        <v>-165.62674000000061</v>
      </c>
      <c r="DZ336" s="399">
        <v>0</v>
      </c>
      <c r="EA336" s="399">
        <v>0</v>
      </c>
      <c r="EB336" s="399">
        <v>0</v>
      </c>
      <c r="EC336" s="399">
        <v>0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218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956</v>
      </c>
      <c r="C337" s="399" t="s">
        <v>2334</v>
      </c>
      <c r="D337" s="399" t="s">
        <v>533</v>
      </c>
      <c r="E337" s="399" t="s">
        <v>894</v>
      </c>
      <c r="F337" s="399" t="s">
        <v>1239</v>
      </c>
      <c r="G337" s="399" t="s">
        <v>1239</v>
      </c>
      <c r="H337" s="399" t="s">
        <v>1239</v>
      </c>
      <c r="I337" s="399" t="s">
        <v>1239</v>
      </c>
      <c r="J337" s="399" t="s">
        <v>2329</v>
      </c>
      <c r="K337" s="789">
        <v>44621</v>
      </c>
      <c r="L337" s="399">
        <v>90</v>
      </c>
      <c r="M337" s="399">
        <v>86.4</v>
      </c>
      <c r="N337" s="399">
        <v>0</v>
      </c>
      <c r="O337" s="399">
        <v>0</v>
      </c>
      <c r="P337" s="399">
        <v>0</v>
      </c>
      <c r="Q337" s="399">
        <v>0</v>
      </c>
      <c r="R337" s="399">
        <v>35.15</v>
      </c>
      <c r="S337" s="399"/>
      <c r="T337" s="399"/>
      <c r="U337" s="399">
        <v>3163.5</v>
      </c>
      <c r="V337" s="399"/>
      <c r="W337" s="399">
        <v>3163.5</v>
      </c>
      <c r="X337" s="399">
        <v>2309.4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1199.8235963272409</v>
      </c>
      <c r="AE337" s="399">
        <v>1963.6179499154971</v>
      </c>
      <c r="AF337" s="399"/>
      <c r="AG337" s="399"/>
      <c r="AH337" s="399"/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0</v>
      </c>
      <c r="AO337" s="399">
        <v>0</v>
      </c>
      <c r="AP337" s="399">
        <v>0</v>
      </c>
      <c r="AQ337" s="399">
        <v>0</v>
      </c>
      <c r="AR337" s="399">
        <v>0</v>
      </c>
      <c r="AS337" s="399"/>
      <c r="AT337" s="399"/>
      <c r="AU337" s="399">
        <v>0</v>
      </c>
      <c r="AV337" s="399">
        <v>0</v>
      </c>
      <c r="AW337" s="399">
        <v>0</v>
      </c>
      <c r="AX337" s="399"/>
      <c r="AY337" s="399"/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/>
      <c r="BG337" s="399">
        <v>0</v>
      </c>
      <c r="BH337" s="399">
        <v>0</v>
      </c>
      <c r="BI337" s="399">
        <v>87.98</v>
      </c>
      <c r="BJ337" s="399">
        <v>406.08</v>
      </c>
      <c r="BK337" s="399">
        <v>4431.93</v>
      </c>
      <c r="BL337" s="399">
        <v>1</v>
      </c>
      <c r="BM337" s="399"/>
      <c r="BN337" s="399"/>
      <c r="BO337" s="399"/>
      <c r="BP337" s="399"/>
      <c r="BQ337" s="399"/>
      <c r="BR337" s="399">
        <v>92.375999999999848</v>
      </c>
      <c r="BS337" s="399"/>
      <c r="BT337" s="399"/>
      <c r="BU337" s="399"/>
      <c r="BV337" s="399">
        <v>0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2217.0240000000003</v>
      </c>
      <c r="CJ337" s="399">
        <v>-819.96600000000035</v>
      </c>
      <c r="CK337" s="399"/>
      <c r="CL337" s="399"/>
      <c r="CM337" s="399"/>
      <c r="CN337" s="399"/>
      <c r="CO337" s="399">
        <v>-854.09999999999991</v>
      </c>
      <c r="CP337" s="399">
        <v>0</v>
      </c>
      <c r="CQ337" s="399">
        <v>31</v>
      </c>
      <c r="CR337" s="399">
        <v>-5.7144036236848024</v>
      </c>
      <c r="CS337" s="399">
        <v>0</v>
      </c>
      <c r="CT337" s="399">
        <v>0</v>
      </c>
      <c r="CU337" s="399">
        <v>0</v>
      </c>
      <c r="CV337" s="399">
        <v>0</v>
      </c>
      <c r="CW337" s="399"/>
      <c r="CX337" s="399"/>
      <c r="CY337" s="399"/>
      <c r="CZ337" s="399">
        <v>-5.7144036236848024</v>
      </c>
      <c r="DA337" s="399">
        <v>0</v>
      </c>
      <c r="DB337" s="399">
        <v>0</v>
      </c>
      <c r="DC337" s="399"/>
      <c r="DD337" s="399"/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/>
      <c r="DN337" s="399">
        <v>0</v>
      </c>
      <c r="DO337" s="399">
        <v>0</v>
      </c>
      <c r="DP337" s="399">
        <v>0</v>
      </c>
      <c r="DQ337" s="399">
        <v>0</v>
      </c>
      <c r="DR337" s="399">
        <v>0</v>
      </c>
      <c r="DS337" s="399"/>
      <c r="DT337" s="399"/>
      <c r="DU337" s="399">
        <v>1963.6179499154971</v>
      </c>
      <c r="DV337" s="399"/>
      <c r="DW337" s="399">
        <v>0</v>
      </c>
      <c r="DX337" s="399">
        <v>0</v>
      </c>
      <c r="DY337" s="399">
        <v>-854.09999999999991</v>
      </c>
      <c r="DZ337" s="399"/>
      <c r="EA337" s="399">
        <v>0</v>
      </c>
      <c r="EB337" s="399"/>
      <c r="EC337" s="399">
        <v>-848.32101737381709</v>
      </c>
      <c r="ED337" s="399"/>
      <c r="EE337" s="399">
        <v>0</v>
      </c>
      <c r="EF337" s="399">
        <v>0</v>
      </c>
      <c r="EG337" s="399"/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/>
      <c r="EN337" s="399"/>
      <c r="EO337" s="399">
        <v>0</v>
      </c>
      <c r="EP337" s="399">
        <v>0</v>
      </c>
      <c r="EQ337" s="399"/>
      <c r="ER337" s="399">
        <v>0</v>
      </c>
      <c r="ES337" s="399"/>
      <c r="ET337" s="399">
        <v>0</v>
      </c>
      <c r="EU337" s="399"/>
      <c r="EV337" s="399">
        <v>218</v>
      </c>
      <c r="EW337" s="399"/>
      <c r="EX337" s="399"/>
      <c r="EY337" s="399"/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2361</v>
      </c>
      <c r="C338" s="399" t="s">
        <v>2334</v>
      </c>
      <c r="D338" s="399" t="s">
        <v>533</v>
      </c>
      <c r="E338" s="399" t="s">
        <v>894</v>
      </c>
      <c r="F338" s="399" t="s">
        <v>1239</v>
      </c>
      <c r="G338" s="399" t="s">
        <v>1239</v>
      </c>
      <c r="H338" s="399" t="s">
        <v>1239</v>
      </c>
      <c r="I338" s="399" t="s">
        <v>1239</v>
      </c>
      <c r="J338" s="399" t="s">
        <v>2329</v>
      </c>
      <c r="K338" s="789">
        <v>44621</v>
      </c>
      <c r="L338" s="399">
        <v>295</v>
      </c>
      <c r="M338" s="399">
        <v>283.2</v>
      </c>
      <c r="N338" s="399">
        <v>0</v>
      </c>
      <c r="O338" s="399">
        <v>0</v>
      </c>
      <c r="P338" s="399">
        <v>0</v>
      </c>
      <c r="Q338" s="399">
        <v>0</v>
      </c>
      <c r="R338" s="399">
        <v>35.15</v>
      </c>
      <c r="S338" s="399"/>
      <c r="T338" s="399"/>
      <c r="U338" s="399">
        <v>10369.25</v>
      </c>
      <c r="V338" s="399"/>
      <c r="W338" s="399">
        <v>10369.25</v>
      </c>
      <c r="X338" s="399">
        <v>7569.7</v>
      </c>
      <c r="Y338" s="399">
        <v>0</v>
      </c>
      <c r="Z338" s="399">
        <v>0</v>
      </c>
      <c r="AA338" s="399">
        <v>0</v>
      </c>
      <c r="AB338" s="399">
        <v>0</v>
      </c>
      <c r="AC338" s="399">
        <v>0</v>
      </c>
      <c r="AD338" s="399">
        <v>3932.7551212948456</v>
      </c>
      <c r="AE338" s="399">
        <v>6436.3032802785738</v>
      </c>
      <c r="AF338" s="399"/>
      <c r="AG338" s="399"/>
      <c r="AH338" s="399"/>
      <c r="AI338" s="399">
        <v>0</v>
      </c>
      <c r="AJ338" s="399">
        <v>0</v>
      </c>
      <c r="AK338" s="399">
        <v>0</v>
      </c>
      <c r="AL338" s="399">
        <v>0</v>
      </c>
      <c r="AM338" s="399"/>
      <c r="AN338" s="399">
        <v>0</v>
      </c>
      <c r="AO338" s="399">
        <v>0</v>
      </c>
      <c r="AP338" s="399">
        <v>0</v>
      </c>
      <c r="AQ338" s="399">
        <v>0</v>
      </c>
      <c r="AR338" s="399">
        <v>0</v>
      </c>
      <c r="AS338" s="399"/>
      <c r="AT338" s="399"/>
      <c r="AU338" s="399">
        <v>0</v>
      </c>
      <c r="AV338" s="399">
        <v>0</v>
      </c>
      <c r="AW338" s="399">
        <v>0</v>
      </c>
      <c r="AX338" s="399"/>
      <c r="AY338" s="399"/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/>
      <c r="BG338" s="399">
        <v>0</v>
      </c>
      <c r="BH338" s="399">
        <v>0</v>
      </c>
      <c r="BI338" s="399">
        <v>249.66</v>
      </c>
      <c r="BJ338" s="399">
        <v>1152.3399999999999</v>
      </c>
      <c r="BK338" s="399">
        <v>13040.37</v>
      </c>
      <c r="BL338" s="399">
        <v>2</v>
      </c>
      <c r="BM338" s="399"/>
      <c r="BN338" s="399"/>
      <c r="BO338" s="399"/>
      <c r="BP338" s="399"/>
      <c r="BQ338" s="399"/>
      <c r="BR338" s="399">
        <v>302.7880000000003</v>
      </c>
      <c r="BS338" s="399"/>
      <c r="BT338" s="399"/>
      <c r="BU338" s="399"/>
      <c r="BV338" s="399">
        <v>0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7266.9119999999994</v>
      </c>
      <c r="CJ338" s="399">
        <v>-2687.5980000000009</v>
      </c>
      <c r="CK338" s="399"/>
      <c r="CL338" s="399"/>
      <c r="CM338" s="399"/>
      <c r="CN338" s="399"/>
      <c r="CO338" s="399">
        <v>-2799.5499999999997</v>
      </c>
      <c r="CP338" s="399">
        <v>0</v>
      </c>
      <c r="CQ338" s="399">
        <v>31</v>
      </c>
      <c r="CR338" s="399">
        <v>-18.730545210967193</v>
      </c>
      <c r="CS338" s="399">
        <v>0</v>
      </c>
      <c r="CT338" s="399">
        <v>0</v>
      </c>
      <c r="CU338" s="399">
        <v>0</v>
      </c>
      <c r="CV338" s="399">
        <v>0</v>
      </c>
      <c r="CW338" s="399"/>
      <c r="CX338" s="399"/>
      <c r="CY338" s="399"/>
      <c r="CZ338" s="399">
        <v>-18.730545210967193</v>
      </c>
      <c r="DA338" s="399">
        <v>0</v>
      </c>
      <c r="DB338" s="399">
        <v>0</v>
      </c>
      <c r="DC338" s="399"/>
      <c r="DD338" s="399"/>
      <c r="DE338" s="399">
        <v>0</v>
      </c>
      <c r="DF338" s="399">
        <v>0</v>
      </c>
      <c r="DG338" s="399">
        <v>0</v>
      </c>
      <c r="DH338" s="399">
        <v>0</v>
      </c>
      <c r="DI338" s="399">
        <v>0</v>
      </c>
      <c r="DJ338" s="399"/>
      <c r="DK338" s="399">
        <v>0</v>
      </c>
      <c r="DL338" s="399">
        <v>0</v>
      </c>
      <c r="DM338" s="399"/>
      <c r="DN338" s="399">
        <v>0</v>
      </c>
      <c r="DO338" s="399">
        <v>0</v>
      </c>
      <c r="DP338" s="399">
        <v>0</v>
      </c>
      <c r="DQ338" s="399">
        <v>0</v>
      </c>
      <c r="DR338" s="399">
        <v>0</v>
      </c>
      <c r="DS338" s="399"/>
      <c r="DT338" s="399"/>
      <c r="DU338" s="399">
        <v>6436.3032802785738</v>
      </c>
      <c r="DV338" s="399"/>
      <c r="DW338" s="399">
        <v>0</v>
      </c>
      <c r="DX338" s="399">
        <v>0</v>
      </c>
      <c r="DY338" s="399">
        <v>-2799.55</v>
      </c>
      <c r="DZ338" s="399"/>
      <c r="EA338" s="399">
        <v>0</v>
      </c>
      <c r="EB338" s="399"/>
      <c r="EC338" s="399">
        <v>-2780.6077791697339</v>
      </c>
      <c r="ED338" s="399"/>
      <c r="EE338" s="399">
        <v>0</v>
      </c>
      <c r="EF338" s="399">
        <v>0</v>
      </c>
      <c r="EG338" s="399"/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/>
      <c r="EN338" s="399"/>
      <c r="EO338" s="399">
        <v>0</v>
      </c>
      <c r="EP338" s="399">
        <v>0</v>
      </c>
      <c r="EQ338" s="399"/>
      <c r="ER338" s="399">
        <v>0</v>
      </c>
      <c r="ES338" s="399"/>
      <c r="ET338" s="399">
        <v>0</v>
      </c>
      <c r="EU338" s="399"/>
      <c r="EV338" s="399">
        <v>218</v>
      </c>
      <c r="EW338" s="399"/>
      <c r="EX338" s="399"/>
      <c r="EY338" s="399"/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956</v>
      </c>
      <c r="C339" s="399" t="s">
        <v>2328</v>
      </c>
      <c r="D339" s="399" t="s">
        <v>1826</v>
      </c>
      <c r="E339" s="399" t="s">
        <v>2336</v>
      </c>
      <c r="F339" s="399" t="s">
        <v>1239</v>
      </c>
      <c r="G339" s="399" t="s">
        <v>1239</v>
      </c>
      <c r="H339" s="399" t="s">
        <v>1239</v>
      </c>
      <c r="I339" s="399" t="s">
        <v>1239</v>
      </c>
      <c r="J339" s="399" t="s">
        <v>2329</v>
      </c>
      <c r="K339" s="789">
        <v>44621</v>
      </c>
      <c r="L339" s="399">
        <v>0</v>
      </c>
      <c r="M339" s="399">
        <v>0</v>
      </c>
      <c r="N339" s="399">
        <v>148.22499999999999</v>
      </c>
      <c r="O339" s="399">
        <v>148.22499999999999</v>
      </c>
      <c r="P339" s="399">
        <v>148.22499999999999</v>
      </c>
      <c r="Q339" s="399">
        <v>148.22499999999999</v>
      </c>
      <c r="R339" s="399"/>
      <c r="S339" s="399">
        <v>521.86</v>
      </c>
      <c r="T339" s="399">
        <v>141.32</v>
      </c>
      <c r="U339" s="399"/>
      <c r="V339" s="399">
        <v>98299.855500000005</v>
      </c>
      <c r="W339" s="399">
        <v>98299.855500000005</v>
      </c>
      <c r="X339" s="399">
        <v>76829.46424999999</v>
      </c>
      <c r="Y339" s="399">
        <v>0</v>
      </c>
      <c r="Z339" s="399">
        <v>8993.8546236025795</v>
      </c>
      <c r="AA339" s="399">
        <v>0</v>
      </c>
      <c r="AB339" s="399">
        <v>0</v>
      </c>
      <c r="AC339" s="399">
        <v>0</v>
      </c>
      <c r="AD339" s="399">
        <v>15942.162334541823</v>
      </c>
      <c r="AE339" s="399">
        <v>48165.831567832982</v>
      </c>
      <c r="AF339" s="399">
        <v>20946.998403991125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1390.6458159264162</v>
      </c>
      <c r="AM339" s="399"/>
      <c r="AN339" s="399">
        <v>205.56831415819303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2653.9535076799857</v>
      </c>
      <c r="BH339" s="399">
        <v>0</v>
      </c>
      <c r="BI339" s="399">
        <v>659.54</v>
      </c>
      <c r="BJ339" s="399">
        <v>3047.47</v>
      </c>
      <c r="BK339" s="399">
        <v>27898.23</v>
      </c>
      <c r="BL339" s="399">
        <v>158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23600.951911671109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76832.055899999992</v>
      </c>
      <c r="CJ339" s="399">
        <v>-21467.829599999997</v>
      </c>
      <c r="CK339" s="399"/>
      <c r="CL339" s="399"/>
      <c r="CM339" s="399"/>
      <c r="CN339" s="399"/>
      <c r="CO339" s="399">
        <v>-21470.391250000004</v>
      </c>
      <c r="CP339" s="399">
        <v>0</v>
      </c>
      <c r="CQ339" s="399">
        <v>31</v>
      </c>
      <c r="CR339" s="399">
        <v>-660.45167007646523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-75.927786795335123</v>
      </c>
      <c r="DA339" s="399">
        <v>0</v>
      </c>
      <c r="DB339" s="399">
        <v>0</v>
      </c>
      <c r="DC339" s="399">
        <v>0</v>
      </c>
      <c r="DD339" s="399">
        <v>0</v>
      </c>
      <c r="DE339" s="399">
        <v>0</v>
      </c>
      <c r="DF339" s="399">
        <v>0</v>
      </c>
      <c r="DG339" s="399">
        <v>0</v>
      </c>
      <c r="DH339" s="399">
        <v>0</v>
      </c>
      <c r="DI339" s="399">
        <v>-506.74669903596623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-69.488071631761841</v>
      </c>
      <c r="DP339" s="399">
        <v>-8.2891126134123283</v>
      </c>
      <c r="DQ339" s="399">
        <v>0</v>
      </c>
      <c r="DR339" s="399">
        <v>0</v>
      </c>
      <c r="DS339" s="399"/>
      <c r="DT339" s="399"/>
      <c r="DU339" s="399"/>
      <c r="DV339" s="399">
        <v>48165.831567832982</v>
      </c>
      <c r="DW339" s="399">
        <v>0</v>
      </c>
      <c r="DX339" s="399">
        <v>0</v>
      </c>
      <c r="DY339" s="399">
        <v>-21470.391250000001</v>
      </c>
      <c r="DZ339" s="399">
        <v>0</v>
      </c>
      <c r="EA339" s="399">
        <v>0</v>
      </c>
      <c r="EB339" s="399">
        <v>0</v>
      </c>
      <c r="EC339" s="399">
        <v>-20808.572889669449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218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956</v>
      </c>
      <c r="C340" s="399" t="s">
        <v>2328</v>
      </c>
      <c r="D340" s="399" t="s">
        <v>2337</v>
      </c>
      <c r="E340" s="399" t="s">
        <v>2338</v>
      </c>
      <c r="F340" s="399" t="s">
        <v>2339</v>
      </c>
      <c r="G340" s="399" t="s">
        <v>1239</v>
      </c>
      <c r="H340" s="399" t="s">
        <v>1239</v>
      </c>
      <c r="I340" s="399" t="s">
        <v>1239</v>
      </c>
      <c r="J340" s="399" t="s">
        <v>2329</v>
      </c>
      <c r="K340" s="789">
        <v>44621</v>
      </c>
      <c r="L340" s="399">
        <v>0</v>
      </c>
      <c r="M340" s="399">
        <v>0</v>
      </c>
      <c r="N340" s="399">
        <v>78.382000000000005</v>
      </c>
      <c r="O340" s="399">
        <v>78.382000000000005</v>
      </c>
      <c r="P340" s="399">
        <v>78.382000000000005</v>
      </c>
      <c r="Q340" s="399">
        <v>78.382000000000005</v>
      </c>
      <c r="R340" s="399"/>
      <c r="S340" s="399">
        <v>287.02</v>
      </c>
      <c r="T340" s="399">
        <v>77.73</v>
      </c>
      <c r="U340" s="399"/>
      <c r="V340" s="399">
        <v>28589.834500000001</v>
      </c>
      <c r="W340" s="399">
        <v>28589.834500000001</v>
      </c>
      <c r="X340" s="399">
        <v>22345.924380000004</v>
      </c>
      <c r="Y340" s="399">
        <v>0</v>
      </c>
      <c r="Z340" s="399">
        <v>2615.7933696000614</v>
      </c>
      <c r="AA340" s="399">
        <v>0</v>
      </c>
      <c r="AB340" s="399">
        <v>0</v>
      </c>
      <c r="AC340" s="399">
        <v>0</v>
      </c>
      <c r="AD340" s="399">
        <v>4636.6551692247176</v>
      </c>
      <c r="AE340" s="399">
        <v>14008.661261409592</v>
      </c>
      <c r="AF340" s="399">
        <v>6092.273205571928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404.45862836343036</v>
      </c>
      <c r="AM340" s="399"/>
      <c r="AN340" s="399">
        <v>59.787961411308132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771.88194374386762</v>
      </c>
      <c r="BH340" s="399">
        <v>0</v>
      </c>
      <c r="BI340" s="399">
        <v>225.79</v>
      </c>
      <c r="BJ340" s="399">
        <v>1042.3499999999999</v>
      </c>
      <c r="BK340" s="399">
        <v>11581.39</v>
      </c>
      <c r="BL340" s="399">
        <v>7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6864.1551493157958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22345.354200000002</v>
      </c>
      <c r="CJ340" s="399">
        <v>-6244.5102999999945</v>
      </c>
      <c r="CK340" s="399"/>
      <c r="CL340" s="399"/>
      <c r="CM340" s="399"/>
      <c r="CN340" s="399"/>
      <c r="CO340" s="399">
        <v>-6243.9101199999977</v>
      </c>
      <c r="CP340" s="399">
        <v>0</v>
      </c>
      <c r="CQ340" s="399">
        <v>31</v>
      </c>
      <c r="CR340" s="399">
        <v>-192.08728313149368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-22.083012187740678</v>
      </c>
      <c r="DA340" s="399">
        <v>0</v>
      </c>
      <c r="DB340" s="399">
        <v>0</v>
      </c>
      <c r="DC340" s="399">
        <v>0</v>
      </c>
      <c r="DD340" s="399">
        <v>0</v>
      </c>
      <c r="DE340" s="399">
        <v>0</v>
      </c>
      <c r="DF340" s="399">
        <v>0</v>
      </c>
      <c r="DG340" s="399">
        <v>0</v>
      </c>
      <c r="DH340" s="399">
        <v>0</v>
      </c>
      <c r="DI340" s="399">
        <v>-147.38337574707293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-20.210070614623135</v>
      </c>
      <c r="DP340" s="399">
        <v>-2.4108245820577707</v>
      </c>
      <c r="DQ340" s="399">
        <v>0</v>
      </c>
      <c r="DR340" s="399">
        <v>0</v>
      </c>
      <c r="DS340" s="399"/>
      <c r="DT340" s="399"/>
      <c r="DU340" s="399"/>
      <c r="DV340" s="399">
        <v>14008.661261409592</v>
      </c>
      <c r="DW340" s="399">
        <v>0</v>
      </c>
      <c r="DX340" s="399">
        <v>0</v>
      </c>
      <c r="DY340" s="399">
        <v>-6243.9101199999968</v>
      </c>
      <c r="DZ340" s="399">
        <v>0</v>
      </c>
      <c r="EA340" s="399">
        <v>0</v>
      </c>
      <c r="EB340" s="399">
        <v>0</v>
      </c>
      <c r="EC340" s="399">
        <v>-6052.0132105308985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218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956</v>
      </c>
      <c r="C341" s="399" t="s">
        <v>2328</v>
      </c>
      <c r="D341" s="399" t="s">
        <v>1826</v>
      </c>
      <c r="E341" s="399" t="s">
        <v>921</v>
      </c>
      <c r="F341" s="399" t="s">
        <v>2362</v>
      </c>
      <c r="G341" s="399" t="s">
        <v>1239</v>
      </c>
      <c r="H341" s="399" t="s">
        <v>1239</v>
      </c>
      <c r="I341" s="399" t="s">
        <v>1239</v>
      </c>
      <c r="J341" s="399" t="s">
        <v>2329</v>
      </c>
      <c r="K341" s="789">
        <v>44621</v>
      </c>
      <c r="L341" s="399">
        <v>0</v>
      </c>
      <c r="M341" s="399">
        <v>0</v>
      </c>
      <c r="N341" s="399">
        <v>46.433999999999997</v>
      </c>
      <c r="O341" s="399">
        <v>43.647959999999998</v>
      </c>
      <c r="P341" s="399">
        <v>46.433999999999997</v>
      </c>
      <c r="Q341" s="399">
        <v>43.647959999999998</v>
      </c>
      <c r="R341" s="399"/>
      <c r="S341" s="399">
        <v>521.86</v>
      </c>
      <c r="T341" s="399">
        <v>141.32</v>
      </c>
      <c r="U341" s="399"/>
      <c r="V341" s="399">
        <v>30794.100119999999</v>
      </c>
      <c r="W341" s="399">
        <v>30794.100119999999</v>
      </c>
      <c r="X341" s="399">
        <v>24068.135219999996</v>
      </c>
      <c r="Y341" s="399">
        <v>0</v>
      </c>
      <c r="Z341" s="399">
        <v>2817.4777911442884</v>
      </c>
      <c r="AA341" s="399">
        <v>0</v>
      </c>
      <c r="AB341" s="399">
        <v>0</v>
      </c>
      <c r="AC341" s="399">
        <v>0</v>
      </c>
      <c r="AD341" s="399">
        <v>4994.1532524345757</v>
      </c>
      <c r="AE341" s="399">
        <v>15088.76520843823</v>
      </c>
      <c r="AF341" s="399">
        <v>6562.0031971052385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435.64343273217884</v>
      </c>
      <c r="AM341" s="399"/>
      <c r="AN341" s="399">
        <v>64.397767580512962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831.39603424262066</v>
      </c>
      <c r="BH341" s="399">
        <v>0</v>
      </c>
      <c r="BI341" s="399">
        <v>204.41</v>
      </c>
      <c r="BJ341" s="399">
        <v>943.94</v>
      </c>
      <c r="BK341" s="399">
        <v>10488.07</v>
      </c>
      <c r="BL341" s="399">
        <v>19</v>
      </c>
      <c r="BM341" s="399"/>
      <c r="BN341" s="399"/>
      <c r="BO341" s="399"/>
      <c r="BP341" s="399"/>
      <c r="BQ341" s="399">
        <v>1444.0881132</v>
      </c>
      <c r="BR341" s="399"/>
      <c r="BS341" s="399"/>
      <c r="BT341" s="399"/>
      <c r="BU341" s="399"/>
      <c r="BV341" s="399">
        <v>7393.3992313478593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22625.104499999998</v>
      </c>
      <c r="CJ341" s="399">
        <v>-6321.3796127999958</v>
      </c>
      <c r="CK341" s="399"/>
      <c r="CL341" s="399"/>
      <c r="CM341" s="399"/>
      <c r="CN341" s="399"/>
      <c r="CO341" s="399">
        <v>-6725.9649000000009</v>
      </c>
      <c r="CP341" s="399">
        <v>0</v>
      </c>
      <c r="CQ341" s="399">
        <v>31</v>
      </c>
      <c r="CR341" s="399">
        <v>-206.89770853992923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-23.785669435349519</v>
      </c>
      <c r="DA341" s="399">
        <v>0</v>
      </c>
      <c r="DB341" s="399">
        <v>0</v>
      </c>
      <c r="DC341" s="399">
        <v>0</v>
      </c>
      <c r="DD341" s="399">
        <v>0</v>
      </c>
      <c r="DE341" s="399">
        <v>0</v>
      </c>
      <c r="DF341" s="399">
        <v>0</v>
      </c>
      <c r="DG341" s="399">
        <v>0</v>
      </c>
      <c r="DH341" s="399">
        <v>0</v>
      </c>
      <c r="DI341" s="399">
        <v>-158.74701449172562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-21.768319231905764</v>
      </c>
      <c r="DP341" s="399">
        <v>-2.596705380949146</v>
      </c>
      <c r="DQ341" s="399">
        <v>0</v>
      </c>
      <c r="DR341" s="399">
        <v>0</v>
      </c>
      <c r="DS341" s="399"/>
      <c r="DT341" s="399"/>
      <c r="DU341" s="399"/>
      <c r="DV341" s="399">
        <v>15088.76520843823</v>
      </c>
      <c r="DW341" s="399">
        <v>0</v>
      </c>
      <c r="DX341" s="399">
        <v>0</v>
      </c>
      <c r="DY341" s="399">
        <v>-6725.9649000000027</v>
      </c>
      <c r="DZ341" s="399">
        <v>0</v>
      </c>
      <c r="EA341" s="399">
        <v>0</v>
      </c>
      <c r="EB341" s="399">
        <v>0</v>
      </c>
      <c r="EC341" s="399">
        <v>-6518.6390525141578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218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956</v>
      </c>
      <c r="C342" s="399" t="s">
        <v>2398</v>
      </c>
      <c r="D342" s="399" t="s">
        <v>533</v>
      </c>
      <c r="E342" s="399" t="s">
        <v>921</v>
      </c>
      <c r="F342" s="399" t="s">
        <v>2362</v>
      </c>
      <c r="G342" s="399" t="s">
        <v>1239</v>
      </c>
      <c r="H342" s="399" t="s">
        <v>1239</v>
      </c>
      <c r="I342" s="399" t="s">
        <v>893</v>
      </c>
      <c r="J342" s="399" t="s">
        <v>2329</v>
      </c>
      <c r="K342" s="789">
        <v>44621</v>
      </c>
      <c r="L342" s="399">
        <v>473</v>
      </c>
      <c r="M342" s="399">
        <v>444.62</v>
      </c>
      <c r="N342" s="399">
        <v>18.792000000000002</v>
      </c>
      <c r="O342" s="399">
        <v>17.664480000000001</v>
      </c>
      <c r="P342" s="399">
        <v>18.792000000000002</v>
      </c>
      <c r="Q342" s="399">
        <v>17.664480000000001</v>
      </c>
      <c r="R342" s="399">
        <v>111.06</v>
      </c>
      <c r="S342" s="399">
        <v>69.680000000000007</v>
      </c>
      <c r="T342" s="399">
        <v>141.32</v>
      </c>
      <c r="U342" s="399">
        <v>52531.380000000005</v>
      </c>
      <c r="V342" s="399">
        <v>3965.1120000000005</v>
      </c>
      <c r="W342" s="399">
        <v>56496.492000000006</v>
      </c>
      <c r="X342" s="399">
        <v>40401.501680000001</v>
      </c>
      <c r="Y342" s="399">
        <v>0</v>
      </c>
      <c r="Z342" s="399">
        <v>992.01139480832217</v>
      </c>
      <c r="AA342" s="399">
        <v>0</v>
      </c>
      <c r="AB342" s="399">
        <v>0</v>
      </c>
      <c r="AC342" s="399">
        <v>0</v>
      </c>
      <c r="AD342" s="399">
        <v>15601.035621738743</v>
      </c>
      <c r="AE342" s="399">
        <v>36931.487851072554</v>
      </c>
      <c r="AF342" s="399">
        <v>2655.6653331610814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176.30640022188712</v>
      </c>
      <c r="AM342" s="399"/>
      <c r="AN342" s="399">
        <v>11.289151414445353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129.90831471995017</v>
      </c>
      <c r="BH342" s="399">
        <v>0</v>
      </c>
      <c r="BI342" s="399">
        <v>0</v>
      </c>
      <c r="BJ342" s="399">
        <v>0</v>
      </c>
      <c r="BK342" s="399">
        <v>0</v>
      </c>
      <c r="BL342" s="399">
        <v>0</v>
      </c>
      <c r="BM342" s="399"/>
      <c r="BN342" s="399"/>
      <c r="BO342" s="399"/>
      <c r="BP342" s="399"/>
      <c r="BQ342" s="399">
        <v>2424.0901007999996</v>
      </c>
      <c r="BR342" s="399"/>
      <c r="BS342" s="399"/>
      <c r="BT342" s="399"/>
      <c r="BU342" s="399"/>
      <c r="BV342" s="399">
        <v>2785.5736478810318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37976.481800000001</v>
      </c>
      <c r="CJ342" s="399">
        <v>-15130.250680000005</v>
      </c>
      <c r="CK342" s="399"/>
      <c r="CL342" s="399"/>
      <c r="CM342" s="399"/>
      <c r="CN342" s="399"/>
      <c r="CO342" s="399">
        <v>-16094.990320000001</v>
      </c>
      <c r="CP342" s="399">
        <v>0</v>
      </c>
      <c r="CQ342" s="399">
        <v>31</v>
      </c>
      <c r="CR342" s="399">
        <v>-139.46158092840415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-74.303101525192687</v>
      </c>
      <c r="DA342" s="399">
        <v>0</v>
      </c>
      <c r="DB342" s="399">
        <v>0</v>
      </c>
      <c r="DC342" s="399">
        <v>0</v>
      </c>
      <c r="DD342" s="399">
        <v>0</v>
      </c>
      <c r="DE342" s="399">
        <v>0</v>
      </c>
      <c r="DF342" s="399">
        <v>0</v>
      </c>
      <c r="DG342" s="399">
        <v>0</v>
      </c>
      <c r="DH342" s="399">
        <v>0</v>
      </c>
      <c r="DI342" s="399">
        <v>-55.893554072573579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-8.809713895119387</v>
      </c>
      <c r="DP342" s="399">
        <v>-0.45521143551432708</v>
      </c>
      <c r="DQ342" s="399">
        <v>0</v>
      </c>
      <c r="DR342" s="399">
        <v>0</v>
      </c>
      <c r="DS342" s="399"/>
      <c r="DT342" s="399"/>
      <c r="DU342" s="399">
        <v>36931.487851072554</v>
      </c>
      <c r="DV342" s="399">
        <v>0</v>
      </c>
      <c r="DW342" s="399">
        <v>0</v>
      </c>
      <c r="DX342" s="399">
        <v>0</v>
      </c>
      <c r="DY342" s="399">
        <v>-16094.990320000004</v>
      </c>
      <c r="DZ342" s="399">
        <v>0</v>
      </c>
      <c r="EA342" s="399">
        <v>0</v>
      </c>
      <c r="EB342" s="399">
        <v>0</v>
      </c>
      <c r="EC342" s="399">
        <v>-15955.118636137315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218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956</v>
      </c>
      <c r="C343" s="399" t="s">
        <v>2398</v>
      </c>
      <c r="D343" s="399" t="s">
        <v>533</v>
      </c>
      <c r="E343" s="399" t="s">
        <v>921</v>
      </c>
      <c r="F343" s="399" t="s">
        <v>2362</v>
      </c>
      <c r="G343" s="399" t="s">
        <v>1239</v>
      </c>
      <c r="H343" s="399" t="s">
        <v>1239</v>
      </c>
      <c r="I343" s="399" t="s">
        <v>2326</v>
      </c>
      <c r="J343" s="399" t="s">
        <v>2329</v>
      </c>
      <c r="K343" s="789">
        <v>44621</v>
      </c>
      <c r="L343" s="399">
        <v>476</v>
      </c>
      <c r="M343" s="399">
        <v>447.44</v>
      </c>
      <c r="N343" s="399">
        <v>190.74100000000001</v>
      </c>
      <c r="O343" s="399">
        <v>179.29653999999999</v>
      </c>
      <c r="P343" s="399">
        <v>190.74100000000001</v>
      </c>
      <c r="Q343" s="399">
        <v>179.29653999999999</v>
      </c>
      <c r="R343" s="399">
        <v>35.15</v>
      </c>
      <c r="S343" s="399">
        <v>69.680000000000007</v>
      </c>
      <c r="T343" s="399">
        <v>141.32</v>
      </c>
      <c r="U343" s="399">
        <v>16731.399999999998</v>
      </c>
      <c r="V343" s="399">
        <v>40246.351000000002</v>
      </c>
      <c r="W343" s="399">
        <v>56977.751000000004</v>
      </c>
      <c r="X343" s="399">
        <v>51800.547140000002</v>
      </c>
      <c r="Y343" s="399">
        <v>0</v>
      </c>
      <c r="Z343" s="399">
        <v>10069.031793163802</v>
      </c>
      <c r="AA343" s="399">
        <v>0</v>
      </c>
      <c r="AB343" s="399">
        <v>0</v>
      </c>
      <c r="AC343" s="399">
        <v>0</v>
      </c>
      <c r="AD343" s="399">
        <v>6345.7336872418518</v>
      </c>
      <c r="AE343" s="399">
        <v>10385.357157330851</v>
      </c>
      <c r="AF343" s="399">
        <v>26955.314033231047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1789.5306026353219</v>
      </c>
      <c r="AM343" s="399"/>
      <c r="AN343" s="399">
        <v>114.58620848992769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1318.5846029160289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>
        <v>3108.0328284000043</v>
      </c>
      <c r="BR343" s="399"/>
      <c r="BS343" s="399"/>
      <c r="BT343" s="399"/>
      <c r="BU343" s="399"/>
      <c r="BV343" s="399">
        <v>28273.898636147074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48693.232400000001</v>
      </c>
      <c r="CJ343" s="399">
        <v>-4865.8835399999953</v>
      </c>
      <c r="CK343" s="399"/>
      <c r="CL343" s="399"/>
      <c r="CM343" s="399"/>
      <c r="CN343" s="399"/>
      <c r="CO343" s="399">
        <v>-5177.2038600000005</v>
      </c>
      <c r="CP343" s="399">
        <v>0</v>
      </c>
      <c r="CQ343" s="399">
        <v>31</v>
      </c>
      <c r="CR343" s="399">
        <v>-691.58903994895809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-30.222845831933228</v>
      </c>
      <c r="DA343" s="399">
        <v>0</v>
      </c>
      <c r="DB343" s="399">
        <v>0</v>
      </c>
      <c r="DC343" s="399">
        <v>0</v>
      </c>
      <c r="DD343" s="399">
        <v>0</v>
      </c>
      <c r="DE343" s="399">
        <v>0</v>
      </c>
      <c r="DF343" s="399">
        <v>0</v>
      </c>
      <c r="DG343" s="399">
        <v>0</v>
      </c>
      <c r="DH343" s="399">
        <v>0</v>
      </c>
      <c r="DI343" s="399">
        <v>-567.32611735614955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-89.41962739830592</v>
      </c>
      <c r="DP343" s="399">
        <v>-4.6204493625712075</v>
      </c>
      <c r="DQ343" s="399">
        <v>0</v>
      </c>
      <c r="DR343" s="399">
        <v>0</v>
      </c>
      <c r="DS343" s="399"/>
      <c r="DT343" s="399"/>
      <c r="DU343" s="399">
        <v>10385.357157330851</v>
      </c>
      <c r="DV343" s="399">
        <v>0</v>
      </c>
      <c r="DW343" s="399">
        <v>0</v>
      </c>
      <c r="DX343" s="399">
        <v>0</v>
      </c>
      <c r="DY343" s="399">
        <v>-5177.2038599999978</v>
      </c>
      <c r="DZ343" s="399">
        <v>0</v>
      </c>
      <c r="EA343" s="399">
        <v>0</v>
      </c>
      <c r="EB343" s="399">
        <v>0</v>
      </c>
      <c r="EC343" s="399">
        <v>-4486.6756029992994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218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956</v>
      </c>
      <c r="C344" s="399" t="s">
        <v>2398</v>
      </c>
      <c r="D344" s="399" t="s">
        <v>533</v>
      </c>
      <c r="E344" s="399" t="s">
        <v>921</v>
      </c>
      <c r="F344" s="399" t="s">
        <v>2362</v>
      </c>
      <c r="G344" s="399" t="s">
        <v>1239</v>
      </c>
      <c r="H344" s="399" t="s">
        <v>1239</v>
      </c>
      <c r="I344" s="399" t="s">
        <v>1239</v>
      </c>
      <c r="J344" s="399" t="s">
        <v>2329</v>
      </c>
      <c r="K344" s="789">
        <v>44621</v>
      </c>
      <c r="L344" s="399">
        <v>0</v>
      </c>
      <c r="M344" s="399">
        <v>0</v>
      </c>
      <c r="N344" s="399">
        <v>0</v>
      </c>
      <c r="O344" s="399">
        <v>0</v>
      </c>
      <c r="P344" s="399">
        <v>0</v>
      </c>
      <c r="Q344" s="399">
        <v>0</v>
      </c>
      <c r="R344" s="399"/>
      <c r="S344" s="399"/>
      <c r="T344" s="399"/>
      <c r="U344" s="399"/>
      <c r="V344" s="399"/>
      <c r="W344" s="399"/>
      <c r="X344" s="399"/>
      <c r="Y344" s="399"/>
      <c r="Z344" s="399"/>
      <c r="AA344" s="399">
        <v>0</v>
      </c>
      <c r="AB344" s="399"/>
      <c r="AC344" s="399"/>
      <c r="AD344" s="399"/>
      <c r="AE344" s="399"/>
      <c r="AF344" s="399"/>
      <c r="AG344" s="399"/>
      <c r="AH344" s="399"/>
      <c r="AI344" s="399"/>
      <c r="AJ344" s="399"/>
      <c r="AK344" s="399"/>
      <c r="AL344" s="399"/>
      <c r="AM344" s="399"/>
      <c r="AN344" s="399"/>
      <c r="AO344" s="399"/>
      <c r="AP344" s="399"/>
      <c r="AQ344" s="399"/>
      <c r="AR344" s="399"/>
      <c r="AS344" s="399"/>
      <c r="AT344" s="399"/>
      <c r="AU344" s="399"/>
      <c r="AV344" s="399"/>
      <c r="AW344" s="399"/>
      <c r="AX344" s="399"/>
      <c r="AY344" s="399"/>
      <c r="AZ344" s="399">
        <v>0</v>
      </c>
      <c r="BA344" s="399"/>
      <c r="BB344" s="399"/>
      <c r="BC344" s="399"/>
      <c r="BD344" s="399"/>
      <c r="BE344" s="399"/>
      <c r="BF344" s="399"/>
      <c r="BG344" s="399"/>
      <c r="BH344" s="399"/>
      <c r="BI344" s="399">
        <v>822.73</v>
      </c>
      <c r="BJ344" s="399">
        <v>3797.27</v>
      </c>
      <c r="BK344" s="399">
        <v>38785.550000000003</v>
      </c>
      <c r="BL344" s="399">
        <v>2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/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/>
      <c r="CJ344" s="399">
        <v>-0.03</v>
      </c>
      <c r="CK344" s="399"/>
      <c r="CL344" s="399"/>
      <c r="CM344" s="399"/>
      <c r="CN344" s="399"/>
      <c r="CO344" s="399">
        <v>0</v>
      </c>
      <c r="CP344" s="399">
        <v>0</v>
      </c>
      <c r="CQ344" s="399">
        <v>31</v>
      </c>
      <c r="CR344" s="399"/>
      <c r="CS344" s="399"/>
      <c r="CT344" s="399"/>
      <c r="CU344" s="399"/>
      <c r="CV344" s="399"/>
      <c r="CW344" s="399"/>
      <c r="CX344" s="399"/>
      <c r="CY344" s="399"/>
      <c r="CZ344" s="399"/>
      <c r="DA344" s="399"/>
      <c r="DB344" s="399"/>
      <c r="DC344" s="399"/>
      <c r="DD344" s="399"/>
      <c r="DE344" s="399"/>
      <c r="DF344" s="399"/>
      <c r="DG344" s="399"/>
      <c r="DH344" s="399"/>
      <c r="DI344" s="399"/>
      <c r="DJ344" s="399"/>
      <c r="DK344" s="399">
        <v>0</v>
      </c>
      <c r="DL344" s="399"/>
      <c r="DM344" s="399"/>
      <c r="DN344" s="399"/>
      <c r="DO344" s="399"/>
      <c r="DP344" s="399"/>
      <c r="DQ344" s="399"/>
      <c r="DR344" s="399"/>
      <c r="DS344" s="399"/>
      <c r="DT344" s="399"/>
      <c r="DU344" s="399"/>
      <c r="DV344" s="399"/>
      <c r="DW344" s="399"/>
      <c r="DX344" s="399"/>
      <c r="DY344" s="399"/>
      <c r="DZ344" s="399"/>
      <c r="EA344" s="399"/>
      <c r="EB344" s="399"/>
      <c r="EC344" s="399"/>
      <c r="ED344" s="399"/>
      <c r="EE344" s="399"/>
      <c r="EF344" s="399"/>
      <c r="EG344" s="399"/>
      <c r="EH344" s="399"/>
      <c r="EI344" s="399"/>
      <c r="EJ344" s="399"/>
      <c r="EK344" s="399"/>
      <c r="EL344" s="399"/>
      <c r="EM344" s="399"/>
      <c r="EN344" s="399"/>
      <c r="EO344" s="399"/>
      <c r="EP344" s="399"/>
      <c r="EQ344" s="399"/>
      <c r="ER344" s="399"/>
      <c r="ES344" s="399"/>
      <c r="ET344" s="399"/>
      <c r="EU344" s="399"/>
      <c r="EV344" s="399">
        <v>218</v>
      </c>
      <c r="EW344" s="399"/>
      <c r="EX344" s="399"/>
      <c r="EY344" s="399"/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956</v>
      </c>
      <c r="C345" s="399" t="s">
        <v>2334</v>
      </c>
      <c r="D345" s="399" t="s">
        <v>533</v>
      </c>
      <c r="E345" s="399" t="s">
        <v>921</v>
      </c>
      <c r="F345" s="399" t="s">
        <v>2362</v>
      </c>
      <c r="G345" s="399" t="s">
        <v>1239</v>
      </c>
      <c r="H345" s="399" t="s">
        <v>1239</v>
      </c>
      <c r="I345" s="399" t="s">
        <v>893</v>
      </c>
      <c r="J345" s="399" t="s">
        <v>2329</v>
      </c>
      <c r="K345" s="789">
        <v>44621</v>
      </c>
      <c r="L345" s="399">
        <v>0</v>
      </c>
      <c r="M345" s="399">
        <v>0</v>
      </c>
      <c r="N345" s="399">
        <v>5.0430000000000001</v>
      </c>
      <c r="O345" s="399">
        <v>4.7404200000000003</v>
      </c>
      <c r="P345" s="399">
        <v>5.0430000000000001</v>
      </c>
      <c r="Q345" s="399">
        <v>4.7404200000000003</v>
      </c>
      <c r="R345" s="399"/>
      <c r="S345" s="399">
        <v>2741.05</v>
      </c>
      <c r="T345" s="399">
        <v>141.32</v>
      </c>
      <c r="U345" s="399"/>
      <c r="V345" s="399">
        <v>14535.791910000002</v>
      </c>
      <c r="W345" s="399">
        <v>14535.791910000002</v>
      </c>
      <c r="X345" s="399">
        <v>10408.146839999999</v>
      </c>
      <c r="Y345" s="399">
        <v>0</v>
      </c>
      <c r="Z345" s="399">
        <v>266.21506300651174</v>
      </c>
      <c r="AA345" s="399">
        <v>0</v>
      </c>
      <c r="AB345" s="399">
        <v>0</v>
      </c>
      <c r="AC345" s="399">
        <v>0</v>
      </c>
      <c r="AD345" s="399">
        <v>4001.9305392425745</v>
      </c>
      <c r="AE345" s="399">
        <v>9469.7894580796838</v>
      </c>
      <c r="AF345" s="399">
        <v>712.67136415130551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47.313387415867211</v>
      </c>
      <c r="AM345" s="399"/>
      <c r="AN345" s="399">
        <v>3.0295439859008044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34.862049336563892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>
        <v>624.48881039999969</v>
      </c>
      <c r="BR345" s="399"/>
      <c r="BS345" s="399"/>
      <c r="BT345" s="399"/>
      <c r="BU345" s="399"/>
      <c r="BV345" s="399">
        <v>747.53341348786944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9782.7911999999997</v>
      </c>
      <c r="CJ345" s="399">
        <v>-3880.8831954000034</v>
      </c>
      <c r="CK345" s="399"/>
      <c r="CL345" s="399"/>
      <c r="CM345" s="399"/>
      <c r="CN345" s="399"/>
      <c r="CO345" s="399">
        <v>-4127.6450700000014</v>
      </c>
      <c r="CP345" s="399">
        <v>0</v>
      </c>
      <c r="CQ345" s="399">
        <v>31</v>
      </c>
      <c r="CR345" s="399">
        <v>-36.54586349424244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-19.060007192070771</v>
      </c>
      <c r="DA345" s="399">
        <v>0</v>
      </c>
      <c r="DB345" s="399">
        <v>0</v>
      </c>
      <c r="DC345" s="399">
        <v>0</v>
      </c>
      <c r="DD345" s="399">
        <v>0</v>
      </c>
      <c r="DE345" s="399">
        <v>0</v>
      </c>
      <c r="DF345" s="399">
        <v>0</v>
      </c>
      <c r="DG345" s="399">
        <v>0</v>
      </c>
      <c r="DH345" s="399">
        <v>0</v>
      </c>
      <c r="DI345" s="399">
        <v>-14.999531353128418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-2.364164919810932</v>
      </c>
      <c r="DP345" s="399">
        <v>-0.12216002923045721</v>
      </c>
      <c r="DQ345" s="399">
        <v>0</v>
      </c>
      <c r="DR345" s="399">
        <v>0</v>
      </c>
      <c r="DS345" s="399"/>
      <c r="DT345" s="399"/>
      <c r="DU345" s="399"/>
      <c r="DV345" s="399">
        <v>9469.7894580796838</v>
      </c>
      <c r="DW345" s="399">
        <v>0</v>
      </c>
      <c r="DX345" s="399">
        <v>0</v>
      </c>
      <c r="DY345" s="399">
        <v>-4127.6450700000023</v>
      </c>
      <c r="DZ345" s="399">
        <v>0</v>
      </c>
      <c r="EA345" s="399">
        <v>0</v>
      </c>
      <c r="EB345" s="399">
        <v>0</v>
      </c>
      <c r="EC345" s="399">
        <v>-4091.1326094466267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218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956</v>
      </c>
      <c r="C346" s="399" t="s">
        <v>2334</v>
      </c>
      <c r="D346" s="399" t="s">
        <v>533</v>
      </c>
      <c r="E346" s="399" t="s">
        <v>921</v>
      </c>
      <c r="F346" s="399" t="s">
        <v>2362</v>
      </c>
      <c r="G346" s="399" t="s">
        <v>1239</v>
      </c>
      <c r="H346" s="399" t="s">
        <v>1239</v>
      </c>
      <c r="I346" s="399" t="s">
        <v>2326</v>
      </c>
      <c r="J346" s="399" t="s">
        <v>2329</v>
      </c>
      <c r="K346" s="789">
        <v>44621</v>
      </c>
      <c r="L346" s="399">
        <v>0</v>
      </c>
      <c r="M346" s="399">
        <v>0</v>
      </c>
      <c r="N346" s="399">
        <v>41.484000000000002</v>
      </c>
      <c r="O346" s="399">
        <v>38.994959999999999</v>
      </c>
      <c r="P346" s="399">
        <v>41.484000000000002</v>
      </c>
      <c r="Q346" s="399">
        <v>38.994959999999999</v>
      </c>
      <c r="R346" s="399"/>
      <c r="S346" s="399">
        <v>69.680000000000007</v>
      </c>
      <c r="T346" s="399">
        <v>141.32</v>
      </c>
      <c r="U346" s="399"/>
      <c r="V346" s="399">
        <v>8753.1239999999998</v>
      </c>
      <c r="W346" s="399">
        <v>8753.1239999999998</v>
      </c>
      <c r="X346" s="399">
        <v>8609.5893599999999</v>
      </c>
      <c r="Y346" s="399">
        <v>0</v>
      </c>
      <c r="Z346" s="399">
        <v>2189.8999947971711</v>
      </c>
      <c r="AA346" s="399">
        <v>0</v>
      </c>
      <c r="AB346" s="399">
        <v>0</v>
      </c>
      <c r="AC346" s="399">
        <v>0</v>
      </c>
      <c r="AD346" s="399">
        <v>0</v>
      </c>
      <c r="AE346" s="399">
        <v>0</v>
      </c>
      <c r="AF346" s="399">
        <v>5862.4744934469081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389.20257060476609</v>
      </c>
      <c r="AM346" s="399"/>
      <c r="AN346" s="399">
        <v>24.921198237380324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286.77716729685039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>
        <v>516.57536160000063</v>
      </c>
      <c r="BR346" s="399"/>
      <c r="BS346" s="399"/>
      <c r="BT346" s="399"/>
      <c r="BU346" s="399"/>
      <c r="BV346" s="399">
        <v>6149.2516607437583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8091.9845999999998</v>
      </c>
      <c r="CJ346" s="399">
        <v>-135.98196000000098</v>
      </c>
      <c r="CK346" s="399"/>
      <c r="CL346" s="399"/>
      <c r="CM346" s="399"/>
      <c r="CN346" s="399"/>
      <c r="CO346" s="399">
        <v>-143.53464000000034</v>
      </c>
      <c r="CP346" s="399">
        <v>0</v>
      </c>
      <c r="CQ346" s="399">
        <v>31</v>
      </c>
      <c r="CR346" s="399">
        <v>-143.83963173492157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0</v>
      </c>
      <c r="DA346" s="399">
        <v>0</v>
      </c>
      <c r="DB346" s="399">
        <v>0</v>
      </c>
      <c r="DC346" s="399">
        <v>0</v>
      </c>
      <c r="DD346" s="399">
        <v>0</v>
      </c>
      <c r="DE346" s="399">
        <v>0</v>
      </c>
      <c r="DF346" s="399">
        <v>0</v>
      </c>
      <c r="DG346" s="399">
        <v>0</v>
      </c>
      <c r="DH346" s="399">
        <v>0</v>
      </c>
      <c r="DI346" s="399">
        <v>-123.38698367106463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-19.447752832329286</v>
      </c>
      <c r="DP346" s="399">
        <v>-1.004895231528117</v>
      </c>
      <c r="DQ346" s="399">
        <v>0</v>
      </c>
      <c r="DR346" s="399">
        <v>0</v>
      </c>
      <c r="DS346" s="399"/>
      <c r="DT346" s="399"/>
      <c r="DU346" s="399"/>
      <c r="DV346" s="399">
        <v>0</v>
      </c>
      <c r="DW346" s="399">
        <v>0</v>
      </c>
      <c r="DX346" s="399">
        <v>0</v>
      </c>
      <c r="DY346" s="399">
        <v>-143.53464000000076</v>
      </c>
      <c r="DZ346" s="399">
        <v>0</v>
      </c>
      <c r="EA346" s="399">
        <v>0</v>
      </c>
      <c r="EB346" s="399">
        <v>0</v>
      </c>
      <c r="EC346" s="399">
        <v>0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218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956</v>
      </c>
      <c r="C347" s="399" t="s">
        <v>2334</v>
      </c>
      <c r="D347" s="399" t="s">
        <v>533</v>
      </c>
      <c r="E347" s="399" t="s">
        <v>921</v>
      </c>
      <c r="F347" s="399" t="s">
        <v>2362</v>
      </c>
      <c r="G347" s="399" t="s">
        <v>1239</v>
      </c>
      <c r="H347" s="399" t="s">
        <v>1239</v>
      </c>
      <c r="I347" s="399" t="s">
        <v>1239</v>
      </c>
      <c r="J347" s="399" t="s">
        <v>2329</v>
      </c>
      <c r="K347" s="789">
        <v>44621</v>
      </c>
      <c r="L347" s="399">
        <v>85</v>
      </c>
      <c r="M347" s="399">
        <v>79.900000000000006</v>
      </c>
      <c r="N347" s="399">
        <v>0</v>
      </c>
      <c r="O347" s="399">
        <v>0</v>
      </c>
      <c r="P347" s="399">
        <v>0</v>
      </c>
      <c r="Q347" s="399">
        <v>0</v>
      </c>
      <c r="R347" s="399">
        <v>35.15</v>
      </c>
      <c r="S347" s="399"/>
      <c r="T347" s="399"/>
      <c r="U347" s="399">
        <v>2987.75</v>
      </c>
      <c r="V347" s="399"/>
      <c r="W347" s="399">
        <v>2987.75</v>
      </c>
      <c r="X347" s="399">
        <v>2181.1</v>
      </c>
      <c r="Y347" s="399">
        <v>0</v>
      </c>
      <c r="Z347" s="399">
        <v>0</v>
      </c>
      <c r="AA347" s="399">
        <v>0</v>
      </c>
      <c r="AB347" s="399">
        <v>0</v>
      </c>
      <c r="AC347" s="399">
        <v>0</v>
      </c>
      <c r="AD347" s="399">
        <v>1133.1667298646164</v>
      </c>
      <c r="AE347" s="399">
        <v>1854.5280638090805</v>
      </c>
      <c r="AF347" s="399"/>
      <c r="AG347" s="399"/>
      <c r="AH347" s="399"/>
      <c r="AI347" s="399">
        <v>0</v>
      </c>
      <c r="AJ347" s="399">
        <v>0</v>
      </c>
      <c r="AK347" s="399">
        <v>0</v>
      </c>
      <c r="AL347" s="399">
        <v>0</v>
      </c>
      <c r="AM347" s="399"/>
      <c r="AN347" s="399">
        <v>0</v>
      </c>
      <c r="AO347" s="399">
        <v>0</v>
      </c>
      <c r="AP347" s="399">
        <v>0</v>
      </c>
      <c r="AQ347" s="399">
        <v>0</v>
      </c>
      <c r="AR347" s="399">
        <v>0</v>
      </c>
      <c r="AS347" s="399"/>
      <c r="AT347" s="399"/>
      <c r="AU347" s="399">
        <v>0</v>
      </c>
      <c r="AV347" s="399">
        <v>0</v>
      </c>
      <c r="AW347" s="399">
        <v>0</v>
      </c>
      <c r="AX347" s="399"/>
      <c r="AY347" s="399"/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/>
      <c r="BG347" s="399">
        <v>0</v>
      </c>
      <c r="BH347" s="399">
        <v>0</v>
      </c>
      <c r="BI347" s="399">
        <v>191.04</v>
      </c>
      <c r="BJ347" s="399">
        <v>881.75</v>
      </c>
      <c r="BK347" s="399">
        <v>9797.2000000000007</v>
      </c>
      <c r="BL347" s="399">
        <v>1</v>
      </c>
      <c r="BM347" s="399"/>
      <c r="BN347" s="399"/>
      <c r="BO347" s="399"/>
      <c r="BP347" s="399"/>
      <c r="BQ347" s="399">
        <v>130.86599999999984</v>
      </c>
      <c r="BR347" s="399"/>
      <c r="BS347" s="399"/>
      <c r="BT347" s="399"/>
      <c r="BU347" s="399"/>
      <c r="BV347" s="399">
        <v>0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2050.2340000000004</v>
      </c>
      <c r="CJ347" s="399">
        <v>-758.2810000000004</v>
      </c>
      <c r="CK347" s="399"/>
      <c r="CL347" s="399"/>
      <c r="CM347" s="399"/>
      <c r="CN347" s="399"/>
      <c r="CO347" s="399">
        <v>-806.64999999999986</v>
      </c>
      <c r="CP347" s="399">
        <v>0</v>
      </c>
      <c r="CQ347" s="399">
        <v>31</v>
      </c>
      <c r="CR347" s="399">
        <v>-5.396936755702427</v>
      </c>
      <c r="CS347" s="399">
        <v>0</v>
      </c>
      <c r="CT347" s="399">
        <v>0</v>
      </c>
      <c r="CU347" s="399">
        <v>0</v>
      </c>
      <c r="CV347" s="399">
        <v>0</v>
      </c>
      <c r="CW347" s="399"/>
      <c r="CX347" s="399"/>
      <c r="CY347" s="399"/>
      <c r="CZ347" s="399">
        <v>-5.396936755702427</v>
      </c>
      <c r="DA347" s="399">
        <v>0</v>
      </c>
      <c r="DB347" s="399">
        <v>0</v>
      </c>
      <c r="DC347" s="399"/>
      <c r="DD347" s="399"/>
      <c r="DE347" s="399">
        <v>0</v>
      </c>
      <c r="DF347" s="399">
        <v>0</v>
      </c>
      <c r="DG347" s="399">
        <v>0</v>
      </c>
      <c r="DH347" s="399">
        <v>0</v>
      </c>
      <c r="DI347" s="399">
        <v>0</v>
      </c>
      <c r="DJ347" s="399"/>
      <c r="DK347" s="399">
        <v>0</v>
      </c>
      <c r="DL347" s="399">
        <v>0</v>
      </c>
      <c r="DM347" s="399"/>
      <c r="DN347" s="399">
        <v>0</v>
      </c>
      <c r="DO347" s="399">
        <v>0</v>
      </c>
      <c r="DP347" s="399">
        <v>0</v>
      </c>
      <c r="DQ347" s="399">
        <v>0</v>
      </c>
      <c r="DR347" s="399">
        <v>0</v>
      </c>
      <c r="DS347" s="399"/>
      <c r="DT347" s="399"/>
      <c r="DU347" s="399">
        <v>1854.5280638090805</v>
      </c>
      <c r="DV347" s="399"/>
      <c r="DW347" s="399">
        <v>0</v>
      </c>
      <c r="DX347" s="399">
        <v>0</v>
      </c>
      <c r="DY347" s="399">
        <v>-806.65000000000009</v>
      </c>
      <c r="DZ347" s="399"/>
      <c r="EA347" s="399">
        <v>0</v>
      </c>
      <c r="EB347" s="399"/>
      <c r="EC347" s="399">
        <v>-801.1920719641605</v>
      </c>
      <c r="ED347" s="399"/>
      <c r="EE347" s="399">
        <v>0</v>
      </c>
      <c r="EF347" s="399">
        <v>0</v>
      </c>
      <c r="EG347" s="399"/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/>
      <c r="EN347" s="399"/>
      <c r="EO347" s="399">
        <v>0</v>
      </c>
      <c r="EP347" s="399">
        <v>0</v>
      </c>
      <c r="EQ347" s="399"/>
      <c r="ER347" s="399">
        <v>0</v>
      </c>
      <c r="ES347" s="399"/>
      <c r="ET347" s="399">
        <v>0</v>
      </c>
      <c r="EU347" s="399"/>
      <c r="EV347" s="399">
        <v>218</v>
      </c>
      <c r="EW347" s="399"/>
      <c r="EX347" s="399"/>
      <c r="EY347" s="399"/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956</v>
      </c>
      <c r="C348" s="399" t="s">
        <v>2328</v>
      </c>
      <c r="D348" s="399" t="s">
        <v>2335</v>
      </c>
      <c r="E348" s="399" t="s">
        <v>894</v>
      </c>
      <c r="F348" s="399" t="s">
        <v>2363</v>
      </c>
      <c r="G348" s="399" t="s">
        <v>2340</v>
      </c>
      <c r="H348" s="399" t="s">
        <v>1239</v>
      </c>
      <c r="I348" s="399" t="s">
        <v>1239</v>
      </c>
      <c r="J348" s="399" t="s">
        <v>2329</v>
      </c>
      <c r="K348" s="789">
        <v>44621</v>
      </c>
      <c r="L348" s="399">
        <v>0</v>
      </c>
      <c r="M348" s="399">
        <v>0</v>
      </c>
      <c r="N348" s="399">
        <v>0</v>
      </c>
      <c r="O348" s="399">
        <v>0</v>
      </c>
      <c r="P348" s="399">
        <v>0</v>
      </c>
      <c r="Q348" s="399">
        <v>0</v>
      </c>
      <c r="R348" s="399"/>
      <c r="S348" s="399"/>
      <c r="T348" s="399"/>
      <c r="U348" s="399"/>
      <c r="V348" s="399"/>
      <c r="W348" s="399"/>
      <c r="X348" s="399"/>
      <c r="Y348" s="399"/>
      <c r="Z348" s="399"/>
      <c r="AA348" s="399">
        <v>0</v>
      </c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399"/>
      <c r="AL348" s="399"/>
      <c r="AM348" s="399"/>
      <c r="AN348" s="399"/>
      <c r="AO348" s="399"/>
      <c r="AP348" s="399"/>
      <c r="AQ348" s="399"/>
      <c r="AR348" s="399"/>
      <c r="AS348" s="399"/>
      <c r="AT348" s="399"/>
      <c r="AU348" s="399"/>
      <c r="AV348" s="399"/>
      <c r="AW348" s="399"/>
      <c r="AX348" s="399"/>
      <c r="AY348" s="399"/>
      <c r="AZ348" s="399">
        <v>0</v>
      </c>
      <c r="BA348" s="399"/>
      <c r="BB348" s="399"/>
      <c r="BC348" s="399"/>
      <c r="BD348" s="399"/>
      <c r="BE348" s="399"/>
      <c r="BF348" s="399"/>
      <c r="BG348" s="399"/>
      <c r="BH348" s="399"/>
      <c r="BI348" s="399">
        <v>31.22</v>
      </c>
      <c r="BJ348" s="399">
        <v>144.49</v>
      </c>
      <c r="BK348" s="399">
        <v>860.47</v>
      </c>
      <c r="BL348" s="399">
        <v>20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/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/>
      <c r="CJ348" s="399">
        <v>-0.03</v>
      </c>
      <c r="CK348" s="399"/>
      <c r="CL348" s="399"/>
      <c r="CM348" s="399"/>
      <c r="CN348" s="399"/>
      <c r="CO348" s="399">
        <v>0</v>
      </c>
      <c r="CP348" s="399">
        <v>0</v>
      </c>
      <c r="CQ348" s="399">
        <v>31</v>
      </c>
      <c r="CR348" s="399"/>
      <c r="CS348" s="399"/>
      <c r="CT348" s="399"/>
      <c r="CU348" s="399"/>
      <c r="CV348" s="399"/>
      <c r="CW348" s="399"/>
      <c r="CX348" s="399"/>
      <c r="CY348" s="399"/>
      <c r="CZ348" s="399"/>
      <c r="DA348" s="399"/>
      <c r="DB348" s="399"/>
      <c r="DC348" s="399"/>
      <c r="DD348" s="399"/>
      <c r="DE348" s="399"/>
      <c r="DF348" s="399"/>
      <c r="DG348" s="399"/>
      <c r="DH348" s="399"/>
      <c r="DI348" s="399"/>
      <c r="DJ348" s="399"/>
      <c r="DK348" s="399">
        <v>0</v>
      </c>
      <c r="DL348" s="399"/>
      <c r="DM348" s="399"/>
      <c r="DN348" s="399"/>
      <c r="DO348" s="399"/>
      <c r="DP348" s="399"/>
      <c r="DQ348" s="399"/>
      <c r="DR348" s="399"/>
      <c r="DS348" s="399"/>
      <c r="DT348" s="399"/>
      <c r="DU348" s="399"/>
      <c r="DV348" s="399"/>
      <c r="DW348" s="399"/>
      <c r="DX348" s="399"/>
      <c r="DY348" s="399"/>
      <c r="DZ348" s="399"/>
      <c r="EA348" s="399"/>
      <c r="EB348" s="399"/>
      <c r="EC348" s="399"/>
      <c r="ED348" s="399"/>
      <c r="EE348" s="399"/>
      <c r="EF348" s="399"/>
      <c r="EG348" s="399"/>
      <c r="EH348" s="399"/>
      <c r="EI348" s="399"/>
      <c r="EJ348" s="399"/>
      <c r="EK348" s="399"/>
      <c r="EL348" s="399"/>
      <c r="EM348" s="399"/>
      <c r="EN348" s="399"/>
      <c r="EO348" s="399"/>
      <c r="EP348" s="399"/>
      <c r="EQ348" s="399"/>
      <c r="ER348" s="399"/>
      <c r="ES348" s="399"/>
      <c r="ET348" s="399"/>
      <c r="EU348" s="399"/>
      <c r="EV348" s="399">
        <v>218</v>
      </c>
      <c r="EW348" s="399"/>
      <c r="EX348" s="399"/>
      <c r="EY348" s="399"/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2361</v>
      </c>
      <c r="C349" s="399" t="s">
        <v>2328</v>
      </c>
      <c r="D349" s="399" t="s">
        <v>2335</v>
      </c>
      <c r="E349" s="399" t="s">
        <v>894</v>
      </c>
      <c r="F349" s="399" t="s">
        <v>2363</v>
      </c>
      <c r="G349" s="399" t="s">
        <v>2340</v>
      </c>
      <c r="H349" s="399" t="s">
        <v>1239</v>
      </c>
      <c r="I349" s="399" t="s">
        <v>1239</v>
      </c>
      <c r="J349" s="399" t="s">
        <v>2329</v>
      </c>
      <c r="K349" s="789">
        <v>44621</v>
      </c>
      <c r="L349" s="399">
        <v>0</v>
      </c>
      <c r="M349" s="399">
        <v>0</v>
      </c>
      <c r="N349" s="399">
        <v>0</v>
      </c>
      <c r="O349" s="399">
        <v>0</v>
      </c>
      <c r="P349" s="399">
        <v>0</v>
      </c>
      <c r="Q349" s="399">
        <v>0</v>
      </c>
      <c r="R349" s="399"/>
      <c r="S349" s="399"/>
      <c r="T349" s="399"/>
      <c r="U349" s="399"/>
      <c r="V349" s="399"/>
      <c r="W349" s="399"/>
      <c r="X349" s="399"/>
      <c r="Y349" s="399"/>
      <c r="Z349" s="399"/>
      <c r="AA349" s="399">
        <v>0</v>
      </c>
      <c r="AB349" s="399"/>
      <c r="AC349" s="399"/>
      <c r="AD349" s="399"/>
      <c r="AE349" s="399"/>
      <c r="AF349" s="399"/>
      <c r="AG349" s="399"/>
      <c r="AH349" s="399"/>
      <c r="AI349" s="399"/>
      <c r="AJ349" s="399"/>
      <c r="AK349" s="399"/>
      <c r="AL349" s="399"/>
      <c r="AM349" s="399"/>
      <c r="AN349" s="399"/>
      <c r="AO349" s="399"/>
      <c r="AP349" s="399"/>
      <c r="AQ349" s="399"/>
      <c r="AR349" s="399"/>
      <c r="AS349" s="399"/>
      <c r="AT349" s="399"/>
      <c r="AU349" s="399"/>
      <c r="AV349" s="399"/>
      <c r="AW349" s="399"/>
      <c r="AX349" s="399"/>
      <c r="AY349" s="399"/>
      <c r="AZ349" s="399">
        <v>0</v>
      </c>
      <c r="BA349" s="399"/>
      <c r="BB349" s="399"/>
      <c r="BC349" s="399"/>
      <c r="BD349" s="399"/>
      <c r="BE349" s="399"/>
      <c r="BF349" s="399"/>
      <c r="BG349" s="399"/>
      <c r="BH349" s="399"/>
      <c r="BI349" s="399">
        <v>2.74</v>
      </c>
      <c r="BJ349" s="399">
        <v>12.75</v>
      </c>
      <c r="BK349" s="399">
        <v>133.25</v>
      </c>
      <c r="BL349" s="399">
        <v>4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/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/>
      <c r="CJ349" s="399">
        <v>-0.03</v>
      </c>
      <c r="CK349" s="399"/>
      <c r="CL349" s="399"/>
      <c r="CM349" s="399"/>
      <c r="CN349" s="399"/>
      <c r="CO349" s="399">
        <v>0</v>
      </c>
      <c r="CP349" s="399">
        <v>0</v>
      </c>
      <c r="CQ349" s="399">
        <v>31</v>
      </c>
      <c r="CR349" s="399"/>
      <c r="CS349" s="399"/>
      <c r="CT349" s="399"/>
      <c r="CU349" s="399"/>
      <c r="CV349" s="399"/>
      <c r="CW349" s="399"/>
      <c r="CX349" s="399"/>
      <c r="CY349" s="399"/>
      <c r="CZ349" s="399"/>
      <c r="DA349" s="399"/>
      <c r="DB349" s="399"/>
      <c r="DC349" s="399"/>
      <c r="DD349" s="399"/>
      <c r="DE349" s="399"/>
      <c r="DF349" s="399"/>
      <c r="DG349" s="399"/>
      <c r="DH349" s="399"/>
      <c r="DI349" s="399"/>
      <c r="DJ349" s="399"/>
      <c r="DK349" s="399">
        <v>0</v>
      </c>
      <c r="DL349" s="399"/>
      <c r="DM349" s="399"/>
      <c r="DN349" s="399"/>
      <c r="DO349" s="399"/>
      <c r="DP349" s="399"/>
      <c r="DQ349" s="399"/>
      <c r="DR349" s="399"/>
      <c r="DS349" s="399"/>
      <c r="DT349" s="399"/>
      <c r="DU349" s="399"/>
      <c r="DV349" s="399"/>
      <c r="DW349" s="399"/>
      <c r="DX349" s="399"/>
      <c r="DY349" s="399"/>
      <c r="DZ349" s="399"/>
      <c r="EA349" s="399"/>
      <c r="EB349" s="399"/>
      <c r="EC349" s="399"/>
      <c r="ED349" s="399"/>
      <c r="EE349" s="399"/>
      <c r="EF349" s="399"/>
      <c r="EG349" s="399"/>
      <c r="EH349" s="399"/>
      <c r="EI349" s="399"/>
      <c r="EJ349" s="399"/>
      <c r="EK349" s="399"/>
      <c r="EL349" s="399"/>
      <c r="EM349" s="399"/>
      <c r="EN349" s="399"/>
      <c r="EO349" s="399"/>
      <c r="EP349" s="399"/>
      <c r="EQ349" s="399"/>
      <c r="ER349" s="399"/>
      <c r="ES349" s="399"/>
      <c r="ET349" s="399"/>
      <c r="EU349" s="399"/>
      <c r="EV349" s="399">
        <v>218</v>
      </c>
      <c r="EW349" s="399"/>
      <c r="EX349" s="399"/>
      <c r="EY349" s="399"/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956</v>
      </c>
      <c r="C350" s="399" t="s">
        <v>2328</v>
      </c>
      <c r="D350" s="399" t="s">
        <v>2335</v>
      </c>
      <c r="E350" s="399" t="s">
        <v>894</v>
      </c>
      <c r="F350" s="399" t="s">
        <v>2363</v>
      </c>
      <c r="G350" s="399" t="s">
        <v>2340</v>
      </c>
      <c r="H350" s="399" t="s">
        <v>1239</v>
      </c>
      <c r="I350" s="399" t="s">
        <v>1239</v>
      </c>
      <c r="J350" s="399" t="s">
        <v>2329</v>
      </c>
      <c r="K350" s="789">
        <v>44621</v>
      </c>
      <c r="L350" s="399">
        <v>0</v>
      </c>
      <c r="M350" s="399">
        <v>0</v>
      </c>
      <c r="N350" s="399">
        <v>3.6970000000000001</v>
      </c>
      <c r="O350" s="399">
        <v>3.6970000000000001</v>
      </c>
      <c r="P350" s="399">
        <v>3.6970000000000001</v>
      </c>
      <c r="Q350" s="399">
        <v>3.6970000000000001</v>
      </c>
      <c r="R350" s="399"/>
      <c r="S350" s="399">
        <v>521.86</v>
      </c>
      <c r="T350" s="399">
        <v>141.32</v>
      </c>
      <c r="U350" s="399"/>
      <c r="V350" s="399">
        <v>2451.77646</v>
      </c>
      <c r="W350" s="399">
        <v>2451.77646</v>
      </c>
      <c r="X350" s="399">
        <v>1916.2660099999998</v>
      </c>
      <c r="Y350" s="399">
        <v>0</v>
      </c>
      <c r="Z350" s="399">
        <v>224.32302609855785</v>
      </c>
      <c r="AA350" s="399">
        <v>0</v>
      </c>
      <c r="AB350" s="399">
        <v>0</v>
      </c>
      <c r="AC350" s="399">
        <v>0</v>
      </c>
      <c r="AD350" s="399">
        <v>397.62640681937</v>
      </c>
      <c r="AE350" s="399">
        <v>1201.3430885901739</v>
      </c>
      <c r="AF350" s="399">
        <v>522.45608432825225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34.685225714150519</v>
      </c>
      <c r="AM350" s="399"/>
      <c r="AN350" s="399">
        <v>5.1272461288098476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66.194407946654806</v>
      </c>
      <c r="BH350" s="399">
        <v>0</v>
      </c>
      <c r="BI350" s="399">
        <v>0</v>
      </c>
      <c r="BJ350" s="399">
        <v>0</v>
      </c>
      <c r="BK350" s="399">
        <v>0</v>
      </c>
      <c r="BL350" s="399">
        <v>0</v>
      </c>
      <c r="BM350" s="399"/>
      <c r="BN350" s="399"/>
      <c r="BO350" s="399"/>
      <c r="BP350" s="399"/>
      <c r="BQ350" s="399"/>
      <c r="BR350" s="399">
        <v>229.95340000000002</v>
      </c>
      <c r="BS350" s="399"/>
      <c r="BT350" s="399"/>
      <c r="BU350" s="399"/>
      <c r="BV350" s="399">
        <v>588.65049227490704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1687.681</v>
      </c>
      <c r="CJ350" s="399">
        <v>-469.88123000000041</v>
      </c>
      <c r="CK350" s="399"/>
      <c r="CL350" s="399"/>
      <c r="CM350" s="399"/>
      <c r="CN350" s="399"/>
      <c r="CO350" s="399">
        <v>-535.51045000000011</v>
      </c>
      <c r="CP350" s="399">
        <v>0</v>
      </c>
      <c r="CQ350" s="399">
        <v>31</v>
      </c>
      <c r="CR350" s="399">
        <v>-16.472861017188279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-1.8937765409502845</v>
      </c>
      <c r="DA350" s="399">
        <v>0</v>
      </c>
      <c r="DB350" s="399">
        <v>0</v>
      </c>
      <c r="DC350" s="399">
        <v>0</v>
      </c>
      <c r="DD350" s="399">
        <v>0</v>
      </c>
      <c r="DE350" s="399">
        <v>0</v>
      </c>
      <c r="DF350" s="399">
        <v>0</v>
      </c>
      <c r="DG350" s="399">
        <v>0</v>
      </c>
      <c r="DH350" s="399">
        <v>0</v>
      </c>
      <c r="DI350" s="399">
        <v>-12.639180612824845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-1.733158379643271</v>
      </c>
      <c r="DP350" s="399">
        <v>-0.20674548376984525</v>
      </c>
      <c r="DQ350" s="399">
        <v>0</v>
      </c>
      <c r="DR350" s="399">
        <v>0</v>
      </c>
      <c r="DS350" s="399"/>
      <c r="DT350" s="399"/>
      <c r="DU350" s="399"/>
      <c r="DV350" s="399">
        <v>1201.3430885901739</v>
      </c>
      <c r="DW350" s="399">
        <v>0</v>
      </c>
      <c r="DX350" s="399">
        <v>0</v>
      </c>
      <c r="DY350" s="399">
        <v>-535.51045000000022</v>
      </c>
      <c r="DZ350" s="399">
        <v>0</v>
      </c>
      <c r="EA350" s="399">
        <v>0</v>
      </c>
      <c r="EB350" s="399">
        <v>0</v>
      </c>
      <c r="EC350" s="399">
        <v>-519.00350125220405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218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2361</v>
      </c>
      <c r="C351" s="399" t="s">
        <v>2328</v>
      </c>
      <c r="D351" s="399" t="s">
        <v>2335</v>
      </c>
      <c r="E351" s="399" t="s">
        <v>894</v>
      </c>
      <c r="F351" s="399" t="s">
        <v>2363</v>
      </c>
      <c r="G351" s="399" t="s">
        <v>2340</v>
      </c>
      <c r="H351" s="399" t="s">
        <v>1239</v>
      </c>
      <c r="I351" s="399" t="s">
        <v>1239</v>
      </c>
      <c r="J351" s="399" t="s">
        <v>2329</v>
      </c>
      <c r="K351" s="789">
        <v>44621</v>
      </c>
      <c r="L351" s="399">
        <v>0</v>
      </c>
      <c r="M351" s="399">
        <v>0</v>
      </c>
      <c r="N351" s="399">
        <v>0.374</v>
      </c>
      <c r="O351" s="399">
        <v>0.374</v>
      </c>
      <c r="P351" s="399">
        <v>0.374</v>
      </c>
      <c r="Q351" s="399">
        <v>0.374</v>
      </c>
      <c r="R351" s="399"/>
      <c r="S351" s="399">
        <v>521.86</v>
      </c>
      <c r="T351" s="399">
        <v>141.32</v>
      </c>
      <c r="U351" s="399"/>
      <c r="V351" s="399">
        <v>248.02932000000001</v>
      </c>
      <c r="W351" s="399">
        <v>248.02932000000001</v>
      </c>
      <c r="X351" s="399">
        <v>193.85541999999998</v>
      </c>
      <c r="Y351" s="399">
        <v>0</v>
      </c>
      <c r="Z351" s="399">
        <v>22.693213892577937</v>
      </c>
      <c r="AA351" s="399">
        <v>0</v>
      </c>
      <c r="AB351" s="399">
        <v>0</v>
      </c>
      <c r="AC351" s="399">
        <v>0</v>
      </c>
      <c r="AD351" s="399">
        <v>40.225122031496994</v>
      </c>
      <c r="AE351" s="399">
        <v>121.53159727690696</v>
      </c>
      <c r="AF351" s="399">
        <v>52.853279831962766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3.5088651385156329</v>
      </c>
      <c r="AM351" s="399"/>
      <c r="AN351" s="399">
        <v>0.51868813961993043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6.696431856112766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>
        <v>23.262800000000002</v>
      </c>
      <c r="BS351" s="399"/>
      <c r="BT351" s="399"/>
      <c r="BU351" s="399"/>
      <c r="BV351" s="399">
        <v>59.549711688075533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168.7681</v>
      </c>
      <c r="CJ351" s="399">
        <v>-49.52455999999998</v>
      </c>
      <c r="CK351" s="399"/>
      <c r="CL351" s="399"/>
      <c r="CM351" s="399"/>
      <c r="CN351" s="399"/>
      <c r="CO351" s="399">
        <v>-54.17390000000001</v>
      </c>
      <c r="CP351" s="399">
        <v>0</v>
      </c>
      <c r="CQ351" s="399">
        <v>31</v>
      </c>
      <c r="CR351" s="399">
        <v>-1.6664457723636446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-0.19158031547617327</v>
      </c>
      <c r="DA351" s="399">
        <v>0</v>
      </c>
      <c r="DB351" s="399">
        <v>0</v>
      </c>
      <c r="DC351" s="399">
        <v>0</v>
      </c>
      <c r="DD351" s="399">
        <v>0</v>
      </c>
      <c r="DE351" s="399">
        <v>0</v>
      </c>
      <c r="DF351" s="399">
        <v>0</v>
      </c>
      <c r="DG351" s="399">
        <v>0</v>
      </c>
      <c r="DH351" s="399">
        <v>0</v>
      </c>
      <c r="DI351" s="399">
        <v>-1.27861875823546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-0.17533168352355499</v>
      </c>
      <c r="DP351" s="399">
        <v>-2.09150151284615E-2</v>
      </c>
      <c r="DQ351" s="399">
        <v>0</v>
      </c>
      <c r="DR351" s="399">
        <v>0</v>
      </c>
      <c r="DS351" s="399"/>
      <c r="DT351" s="399"/>
      <c r="DU351" s="399"/>
      <c r="DV351" s="399">
        <v>121.53159727690696</v>
      </c>
      <c r="DW351" s="399">
        <v>0</v>
      </c>
      <c r="DX351" s="399">
        <v>0</v>
      </c>
      <c r="DY351" s="399">
        <v>-54.173900000000032</v>
      </c>
      <c r="DZ351" s="399">
        <v>0</v>
      </c>
      <c r="EA351" s="399">
        <v>0</v>
      </c>
      <c r="EB351" s="399">
        <v>0</v>
      </c>
      <c r="EC351" s="399">
        <v>-52.504005806958162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218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956</v>
      </c>
      <c r="C352" s="399" t="s">
        <v>2328</v>
      </c>
      <c r="D352" s="399" t="s">
        <v>2335</v>
      </c>
      <c r="E352" s="399" t="s">
        <v>894</v>
      </c>
      <c r="F352" s="399" t="s">
        <v>2363</v>
      </c>
      <c r="G352" s="399" t="s">
        <v>2341</v>
      </c>
      <c r="H352" s="399" t="s">
        <v>1239</v>
      </c>
      <c r="I352" s="399" t="s">
        <v>1239</v>
      </c>
      <c r="J352" s="399" t="s">
        <v>2329</v>
      </c>
      <c r="K352" s="789">
        <v>44621</v>
      </c>
      <c r="L352" s="399">
        <v>0</v>
      </c>
      <c r="M352" s="399">
        <v>0</v>
      </c>
      <c r="N352" s="399">
        <v>3.331</v>
      </c>
      <c r="O352" s="399">
        <v>1.3324</v>
      </c>
      <c r="P352" s="399">
        <v>3.331</v>
      </c>
      <c r="Q352" s="399">
        <v>1.3324</v>
      </c>
      <c r="R352" s="399"/>
      <c r="S352" s="399">
        <v>521.86</v>
      </c>
      <c r="T352" s="399">
        <v>141.32</v>
      </c>
      <c r="U352" s="399"/>
      <c r="V352" s="399">
        <v>2209.05258</v>
      </c>
      <c r="W352" s="399">
        <v>2209.05258</v>
      </c>
      <c r="X352" s="399">
        <v>1726.5572300000001</v>
      </c>
      <c r="Y352" s="399">
        <v>0</v>
      </c>
      <c r="Z352" s="399">
        <v>202.11522854592812</v>
      </c>
      <c r="AA352" s="399">
        <v>0</v>
      </c>
      <c r="AB352" s="399">
        <v>0</v>
      </c>
      <c r="AC352" s="399">
        <v>0</v>
      </c>
      <c r="AD352" s="399">
        <v>358.26171520565907</v>
      </c>
      <c r="AE352" s="399">
        <v>1082.4110976721313</v>
      </c>
      <c r="AF352" s="399">
        <v>470.73335593654542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31.251416514426666</v>
      </c>
      <c r="AM352" s="399"/>
      <c r="AN352" s="399">
        <v>4.619652922657723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59.641215274630007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>
        <v>1118.809618</v>
      </c>
      <c r="BT352" s="399"/>
      <c r="BU352" s="399"/>
      <c r="BV352" s="399">
        <v>530.37457121117541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606.65290000000005</v>
      </c>
      <c r="CJ352" s="399">
        <v>-170.95241599999997</v>
      </c>
      <c r="CK352" s="399"/>
      <c r="CL352" s="399"/>
      <c r="CM352" s="399"/>
      <c r="CN352" s="399"/>
      <c r="CO352" s="399">
        <v>-482.49535000000009</v>
      </c>
      <c r="CP352" s="399">
        <v>0</v>
      </c>
      <c r="CQ352" s="399">
        <v>31</v>
      </c>
      <c r="CR352" s="399">
        <v>-14.842061143698857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-1.7062942001367105</v>
      </c>
      <c r="DA352" s="399">
        <v>0</v>
      </c>
      <c r="DB352" s="399">
        <v>0</v>
      </c>
      <c r="DC352" s="399">
        <v>0</v>
      </c>
      <c r="DD352" s="399">
        <v>0</v>
      </c>
      <c r="DE352" s="399">
        <v>0</v>
      </c>
      <c r="DF352" s="399">
        <v>0</v>
      </c>
      <c r="DG352" s="399">
        <v>0</v>
      </c>
      <c r="DH352" s="399">
        <v>0</v>
      </c>
      <c r="DI352" s="399">
        <v>-11.387911988455414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-1.5615771064624653</v>
      </c>
      <c r="DP352" s="399">
        <v>-0.18627784864413233</v>
      </c>
      <c r="DQ352" s="399">
        <v>0</v>
      </c>
      <c r="DR352" s="399">
        <v>0</v>
      </c>
      <c r="DS352" s="399"/>
      <c r="DT352" s="399"/>
      <c r="DU352" s="399"/>
      <c r="DV352" s="399">
        <v>1082.4110976721313</v>
      </c>
      <c r="DW352" s="399">
        <v>0</v>
      </c>
      <c r="DX352" s="399">
        <v>0</v>
      </c>
      <c r="DY352" s="399">
        <v>-482.49534999999992</v>
      </c>
      <c r="DZ352" s="399">
        <v>0</v>
      </c>
      <c r="EA352" s="399">
        <v>0</v>
      </c>
      <c r="EB352" s="399">
        <v>0</v>
      </c>
      <c r="EC352" s="399">
        <v>-467.62257578336266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218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2361</v>
      </c>
      <c r="C353" s="399" t="s">
        <v>2328</v>
      </c>
      <c r="D353" s="399" t="s">
        <v>2335</v>
      </c>
      <c r="E353" s="399" t="s">
        <v>894</v>
      </c>
      <c r="F353" s="399" t="s">
        <v>2363</v>
      </c>
      <c r="G353" s="399" t="s">
        <v>2341</v>
      </c>
      <c r="H353" s="399" t="s">
        <v>1239</v>
      </c>
      <c r="I353" s="399" t="s">
        <v>1239</v>
      </c>
      <c r="J353" s="399" t="s">
        <v>2329</v>
      </c>
      <c r="K353" s="789">
        <v>44621</v>
      </c>
      <c r="L353" s="399">
        <v>0</v>
      </c>
      <c r="M353" s="399">
        <v>0</v>
      </c>
      <c r="N353" s="399">
        <v>0.246</v>
      </c>
      <c r="O353" s="399">
        <v>9.8400000000000001E-2</v>
      </c>
      <c r="P353" s="399">
        <v>0.246</v>
      </c>
      <c r="Q353" s="399">
        <v>9.8400000000000001E-2</v>
      </c>
      <c r="R353" s="399"/>
      <c r="S353" s="399">
        <v>521.86</v>
      </c>
      <c r="T353" s="399">
        <v>141.32</v>
      </c>
      <c r="U353" s="399"/>
      <c r="V353" s="399">
        <v>163.14227999999997</v>
      </c>
      <c r="W353" s="399">
        <v>163.14227999999997</v>
      </c>
      <c r="X353" s="399">
        <v>127.50917999999999</v>
      </c>
      <c r="Y353" s="399">
        <v>0</v>
      </c>
      <c r="Z353" s="399">
        <v>14.926552453406879</v>
      </c>
      <c r="AA353" s="399">
        <v>0</v>
      </c>
      <c r="AB353" s="399">
        <v>0</v>
      </c>
      <c r="AC353" s="399">
        <v>0</v>
      </c>
      <c r="AD353" s="399">
        <v>26.458235346920482</v>
      </c>
      <c r="AE353" s="399">
        <v>79.937895535077843</v>
      </c>
      <c r="AF353" s="399">
        <v>34.764456787868561</v>
      </c>
      <c r="AG353" s="399">
        <v>0</v>
      </c>
      <c r="AH353" s="399">
        <v>0</v>
      </c>
      <c r="AI353" s="399">
        <v>0</v>
      </c>
      <c r="AJ353" s="399">
        <v>0</v>
      </c>
      <c r="AK353" s="399">
        <v>0</v>
      </c>
      <c r="AL353" s="399">
        <v>2.307970117847181</v>
      </c>
      <c r="AM353" s="399"/>
      <c r="AN353" s="399">
        <v>0.34116920413503449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4.4046049107051877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/>
      <c r="BS353" s="399">
        <v>82.625988000000007</v>
      </c>
      <c r="BT353" s="399"/>
      <c r="BU353" s="399"/>
      <c r="BV353" s="399">
        <v>39.169061698573749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45.613</v>
      </c>
      <c r="CJ353" s="399">
        <v>-11.842255999999992</v>
      </c>
      <c r="CK353" s="399"/>
      <c r="CL353" s="399"/>
      <c r="CM353" s="399"/>
      <c r="CN353" s="399"/>
      <c r="CO353" s="399">
        <v>-35.633100000000006</v>
      </c>
      <c r="CP353" s="399">
        <v>0</v>
      </c>
      <c r="CQ353" s="399">
        <v>31</v>
      </c>
      <c r="CR353" s="399">
        <v>-1.0961113903782262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-0.1260127208747015</v>
      </c>
      <c r="DA353" s="399">
        <v>0</v>
      </c>
      <c r="DB353" s="399">
        <v>0</v>
      </c>
      <c r="DC353" s="399">
        <v>0</v>
      </c>
      <c r="DD353" s="399">
        <v>0</v>
      </c>
      <c r="DE353" s="399">
        <v>0</v>
      </c>
      <c r="DF353" s="399">
        <v>0</v>
      </c>
      <c r="DG353" s="399">
        <v>0</v>
      </c>
      <c r="DH353" s="399">
        <v>0</v>
      </c>
      <c r="DI353" s="399">
        <v>-0.84101661637947522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-0.11532511803955758</v>
      </c>
      <c r="DP353" s="399">
        <v>-1.3756935084496102E-2</v>
      </c>
      <c r="DQ353" s="399">
        <v>0</v>
      </c>
      <c r="DR353" s="399">
        <v>0</v>
      </c>
      <c r="DS353" s="399"/>
      <c r="DT353" s="399"/>
      <c r="DU353" s="399"/>
      <c r="DV353" s="399">
        <v>79.937895535077843</v>
      </c>
      <c r="DW353" s="399">
        <v>0</v>
      </c>
      <c r="DX353" s="399">
        <v>0</v>
      </c>
      <c r="DY353" s="399">
        <v>-35.633099999999999</v>
      </c>
      <c r="DZ353" s="399">
        <v>0</v>
      </c>
      <c r="EA353" s="399">
        <v>0</v>
      </c>
      <c r="EB353" s="399">
        <v>0</v>
      </c>
      <c r="EC353" s="399">
        <v>-34.534720397090126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218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956</v>
      </c>
      <c r="C354" s="399" t="s">
        <v>2328</v>
      </c>
      <c r="D354" s="399" t="s">
        <v>2335</v>
      </c>
      <c r="E354" s="399" t="s">
        <v>894</v>
      </c>
      <c r="F354" s="399" t="s">
        <v>2342</v>
      </c>
      <c r="G354" s="399" t="s">
        <v>2340</v>
      </c>
      <c r="H354" s="399" t="s">
        <v>1239</v>
      </c>
      <c r="I354" s="399" t="s">
        <v>1239</v>
      </c>
      <c r="J354" s="399" t="s">
        <v>2329</v>
      </c>
      <c r="K354" s="789">
        <v>44621</v>
      </c>
      <c r="L354" s="399">
        <v>0</v>
      </c>
      <c r="M354" s="399">
        <v>0</v>
      </c>
      <c r="N354" s="399">
        <v>0</v>
      </c>
      <c r="O354" s="399">
        <v>0</v>
      </c>
      <c r="P354" s="399">
        <v>0</v>
      </c>
      <c r="Q354" s="399">
        <v>0</v>
      </c>
      <c r="R354" s="399"/>
      <c r="S354" s="399"/>
      <c r="T354" s="399"/>
      <c r="U354" s="399"/>
      <c r="V354" s="399"/>
      <c r="W354" s="399"/>
      <c r="X354" s="399"/>
      <c r="Y354" s="399"/>
      <c r="Z354" s="399"/>
      <c r="AA354" s="399">
        <v>0</v>
      </c>
      <c r="AB354" s="399"/>
      <c r="AC354" s="399"/>
      <c r="AD354" s="399"/>
      <c r="AE354" s="399"/>
      <c r="AF354" s="399"/>
      <c r="AG354" s="399"/>
      <c r="AH354" s="399"/>
      <c r="AI354" s="399"/>
      <c r="AJ354" s="399"/>
      <c r="AK354" s="399"/>
      <c r="AL354" s="399"/>
      <c r="AM354" s="399"/>
      <c r="AN354" s="399"/>
      <c r="AO354" s="399"/>
      <c r="AP354" s="399"/>
      <c r="AQ354" s="399"/>
      <c r="AR354" s="399"/>
      <c r="AS354" s="399"/>
      <c r="AT354" s="399"/>
      <c r="AU354" s="399"/>
      <c r="AV354" s="399"/>
      <c r="AW354" s="399"/>
      <c r="AX354" s="399"/>
      <c r="AY354" s="399"/>
      <c r="AZ354" s="399">
        <v>0</v>
      </c>
      <c r="BA354" s="399"/>
      <c r="BB354" s="399"/>
      <c r="BC354" s="399"/>
      <c r="BD354" s="399"/>
      <c r="BE354" s="399"/>
      <c r="BF354" s="399"/>
      <c r="BG354" s="399"/>
      <c r="BH354" s="399"/>
      <c r="BI354" s="399">
        <v>78.03</v>
      </c>
      <c r="BJ354" s="399">
        <v>360.46</v>
      </c>
      <c r="BK354" s="399">
        <v>3159.15</v>
      </c>
      <c r="BL354" s="399">
        <v>16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/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/>
      <c r="CJ354" s="399">
        <v>-0.03</v>
      </c>
      <c r="CK354" s="399"/>
      <c r="CL354" s="399"/>
      <c r="CM354" s="399"/>
      <c r="CN354" s="399"/>
      <c r="CO354" s="399">
        <v>0</v>
      </c>
      <c r="CP354" s="399">
        <v>0</v>
      </c>
      <c r="CQ354" s="399">
        <v>31</v>
      </c>
      <c r="CR354" s="399"/>
      <c r="CS354" s="399"/>
      <c r="CT354" s="399"/>
      <c r="CU354" s="399"/>
      <c r="CV354" s="399"/>
      <c r="CW354" s="399"/>
      <c r="CX354" s="399"/>
      <c r="CY354" s="399"/>
      <c r="CZ354" s="399"/>
      <c r="DA354" s="399"/>
      <c r="DB354" s="399"/>
      <c r="DC354" s="399"/>
      <c r="DD354" s="399"/>
      <c r="DE354" s="399"/>
      <c r="DF354" s="399"/>
      <c r="DG354" s="399"/>
      <c r="DH354" s="399"/>
      <c r="DI354" s="399"/>
      <c r="DJ354" s="399"/>
      <c r="DK354" s="399">
        <v>0</v>
      </c>
      <c r="DL354" s="399"/>
      <c r="DM354" s="399"/>
      <c r="DN354" s="399"/>
      <c r="DO354" s="399"/>
      <c r="DP354" s="399"/>
      <c r="DQ354" s="399"/>
      <c r="DR354" s="399"/>
      <c r="DS354" s="399"/>
      <c r="DT354" s="399"/>
      <c r="DU354" s="399"/>
      <c r="DV354" s="399"/>
      <c r="DW354" s="399"/>
      <c r="DX354" s="399"/>
      <c r="DY354" s="399"/>
      <c r="DZ354" s="399"/>
      <c r="EA354" s="399"/>
      <c r="EB354" s="399"/>
      <c r="EC354" s="399"/>
      <c r="ED354" s="399"/>
      <c r="EE354" s="399"/>
      <c r="EF354" s="399"/>
      <c r="EG354" s="399"/>
      <c r="EH354" s="399"/>
      <c r="EI354" s="399"/>
      <c r="EJ354" s="399"/>
      <c r="EK354" s="399"/>
      <c r="EL354" s="399"/>
      <c r="EM354" s="399"/>
      <c r="EN354" s="399"/>
      <c r="EO354" s="399"/>
      <c r="EP354" s="399"/>
      <c r="EQ354" s="399"/>
      <c r="ER354" s="399"/>
      <c r="ES354" s="399"/>
      <c r="ET354" s="399"/>
      <c r="EU354" s="399"/>
      <c r="EV354" s="399">
        <v>218</v>
      </c>
      <c r="EW354" s="399"/>
      <c r="EX354" s="399"/>
      <c r="EY354" s="399"/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2361</v>
      </c>
      <c r="C355" s="399" t="s">
        <v>2328</v>
      </c>
      <c r="D355" s="399" t="s">
        <v>2335</v>
      </c>
      <c r="E355" s="399" t="s">
        <v>894</v>
      </c>
      <c r="F355" s="399" t="s">
        <v>2342</v>
      </c>
      <c r="G355" s="399" t="s">
        <v>2340</v>
      </c>
      <c r="H355" s="399" t="s">
        <v>1239</v>
      </c>
      <c r="I355" s="399" t="s">
        <v>1239</v>
      </c>
      <c r="J355" s="399" t="s">
        <v>2329</v>
      </c>
      <c r="K355" s="789">
        <v>44621</v>
      </c>
      <c r="L355" s="399">
        <v>0</v>
      </c>
      <c r="M355" s="399">
        <v>0</v>
      </c>
      <c r="N355" s="399">
        <v>0</v>
      </c>
      <c r="O355" s="399">
        <v>0</v>
      </c>
      <c r="P355" s="399">
        <v>0</v>
      </c>
      <c r="Q355" s="399">
        <v>0</v>
      </c>
      <c r="R355" s="399"/>
      <c r="S355" s="399"/>
      <c r="T355" s="399"/>
      <c r="U355" s="399"/>
      <c r="V355" s="399"/>
      <c r="W355" s="399"/>
      <c r="X355" s="399"/>
      <c r="Y355" s="399"/>
      <c r="Z355" s="399"/>
      <c r="AA355" s="399">
        <v>0</v>
      </c>
      <c r="AB355" s="399"/>
      <c r="AC355" s="399"/>
      <c r="AD355" s="399"/>
      <c r="AE355" s="399"/>
      <c r="AF355" s="399"/>
      <c r="AG355" s="399"/>
      <c r="AH355" s="399"/>
      <c r="AI355" s="399"/>
      <c r="AJ355" s="399"/>
      <c r="AK355" s="399"/>
      <c r="AL355" s="399"/>
      <c r="AM355" s="399"/>
      <c r="AN355" s="399"/>
      <c r="AO355" s="399"/>
      <c r="AP355" s="399"/>
      <c r="AQ355" s="399"/>
      <c r="AR355" s="399"/>
      <c r="AS355" s="399"/>
      <c r="AT355" s="399"/>
      <c r="AU355" s="399"/>
      <c r="AV355" s="399"/>
      <c r="AW355" s="399"/>
      <c r="AX355" s="399"/>
      <c r="AY355" s="399"/>
      <c r="AZ355" s="399">
        <v>0</v>
      </c>
      <c r="BA355" s="399"/>
      <c r="BB355" s="399"/>
      <c r="BC355" s="399"/>
      <c r="BD355" s="399"/>
      <c r="BE355" s="399"/>
      <c r="BF355" s="399"/>
      <c r="BG355" s="399"/>
      <c r="BH355" s="399"/>
      <c r="BI355" s="399">
        <v>28.84</v>
      </c>
      <c r="BJ355" s="399">
        <v>133.19999999999999</v>
      </c>
      <c r="BK355" s="399">
        <v>1077.4000000000001</v>
      </c>
      <c r="BL355" s="399">
        <v>3</v>
      </c>
      <c r="BM355" s="399"/>
      <c r="BN355" s="399"/>
      <c r="BO355" s="399"/>
      <c r="BP355" s="399"/>
      <c r="BQ355" s="399"/>
      <c r="BR355" s="399"/>
      <c r="BS355" s="399"/>
      <c r="BT355" s="399"/>
      <c r="BU355" s="399"/>
      <c r="BV355" s="399"/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/>
      <c r="CJ355" s="399">
        <v>-0.03</v>
      </c>
      <c r="CK355" s="399"/>
      <c r="CL355" s="399"/>
      <c r="CM355" s="399"/>
      <c r="CN355" s="399"/>
      <c r="CO355" s="399">
        <v>0</v>
      </c>
      <c r="CP355" s="399">
        <v>0</v>
      </c>
      <c r="CQ355" s="399">
        <v>31</v>
      </c>
      <c r="CR355" s="399"/>
      <c r="CS355" s="399"/>
      <c r="CT355" s="399"/>
      <c r="CU355" s="399"/>
      <c r="CV355" s="399"/>
      <c r="CW355" s="399"/>
      <c r="CX355" s="399"/>
      <c r="CY355" s="399"/>
      <c r="CZ355" s="399"/>
      <c r="DA355" s="399"/>
      <c r="DB355" s="399"/>
      <c r="DC355" s="399"/>
      <c r="DD355" s="399"/>
      <c r="DE355" s="399"/>
      <c r="DF355" s="399"/>
      <c r="DG355" s="399"/>
      <c r="DH355" s="399"/>
      <c r="DI355" s="399"/>
      <c r="DJ355" s="399"/>
      <c r="DK355" s="399">
        <v>0</v>
      </c>
      <c r="DL355" s="399"/>
      <c r="DM355" s="399"/>
      <c r="DN355" s="399"/>
      <c r="DO355" s="399"/>
      <c r="DP355" s="399"/>
      <c r="DQ355" s="399"/>
      <c r="DR355" s="399"/>
      <c r="DS355" s="399"/>
      <c r="DT355" s="399"/>
      <c r="DU355" s="399"/>
      <c r="DV355" s="399"/>
      <c r="DW355" s="399"/>
      <c r="DX355" s="399"/>
      <c r="DY355" s="399"/>
      <c r="DZ355" s="399"/>
      <c r="EA355" s="399"/>
      <c r="EB355" s="399"/>
      <c r="EC355" s="399"/>
      <c r="ED355" s="399"/>
      <c r="EE355" s="399"/>
      <c r="EF355" s="399"/>
      <c r="EG355" s="399"/>
      <c r="EH355" s="399"/>
      <c r="EI355" s="399"/>
      <c r="EJ355" s="399"/>
      <c r="EK355" s="399"/>
      <c r="EL355" s="399"/>
      <c r="EM355" s="399"/>
      <c r="EN355" s="399"/>
      <c r="EO355" s="399"/>
      <c r="EP355" s="399"/>
      <c r="EQ355" s="399"/>
      <c r="ER355" s="399"/>
      <c r="ES355" s="399"/>
      <c r="ET355" s="399"/>
      <c r="EU355" s="399"/>
      <c r="EV355" s="399">
        <v>218</v>
      </c>
      <c r="EW355" s="399"/>
      <c r="EX355" s="399"/>
      <c r="EY355" s="399"/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956</v>
      </c>
      <c r="C356" s="399" t="s">
        <v>2328</v>
      </c>
      <c r="D356" s="399" t="s">
        <v>2335</v>
      </c>
      <c r="E356" s="399" t="s">
        <v>894</v>
      </c>
      <c r="F356" s="399" t="s">
        <v>2342</v>
      </c>
      <c r="G356" s="399" t="s">
        <v>2340</v>
      </c>
      <c r="H356" s="399" t="s">
        <v>1239</v>
      </c>
      <c r="I356" s="399" t="s">
        <v>1239</v>
      </c>
      <c r="J356" s="399" t="s">
        <v>2329</v>
      </c>
      <c r="K356" s="789">
        <v>44621</v>
      </c>
      <c r="L356" s="399">
        <v>0</v>
      </c>
      <c r="M356" s="399">
        <v>0</v>
      </c>
      <c r="N356" s="399">
        <v>7.798</v>
      </c>
      <c r="O356" s="399">
        <v>7.798</v>
      </c>
      <c r="P356" s="399">
        <v>7.798</v>
      </c>
      <c r="Q356" s="399">
        <v>7.798</v>
      </c>
      <c r="R356" s="399"/>
      <c r="S356" s="399">
        <v>521.86</v>
      </c>
      <c r="T356" s="399">
        <v>141.32</v>
      </c>
      <c r="U356" s="399"/>
      <c r="V356" s="399">
        <v>5171.4776400000001</v>
      </c>
      <c r="W356" s="399">
        <v>5171.4776400000001</v>
      </c>
      <c r="X356" s="399">
        <v>4041.9373399999999</v>
      </c>
      <c r="Y356" s="399">
        <v>0</v>
      </c>
      <c r="Z356" s="399">
        <v>473.15957736449934</v>
      </c>
      <c r="AA356" s="399">
        <v>0</v>
      </c>
      <c r="AB356" s="399">
        <v>0</v>
      </c>
      <c r="AC356" s="399">
        <v>0</v>
      </c>
      <c r="AD356" s="399">
        <v>838.70454973693461</v>
      </c>
      <c r="AE356" s="399">
        <v>2533.9662983029962</v>
      </c>
      <c r="AF356" s="399">
        <v>1102.0050163894268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73.160776337285839</v>
      </c>
      <c r="AM356" s="399"/>
      <c r="AN356" s="399">
        <v>10.814786397743898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139.62239468975227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/>
      <c r="BR356" s="399">
        <v>485.03560000000004</v>
      </c>
      <c r="BS356" s="399"/>
      <c r="BT356" s="399"/>
      <c r="BU356" s="399"/>
      <c r="BV356" s="399">
        <v>1241.6274110791792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3557.8139999999994</v>
      </c>
      <c r="CJ356" s="399">
        <v>-993.05082000000129</v>
      </c>
      <c r="CK356" s="399"/>
      <c r="CL356" s="399"/>
      <c r="CM356" s="399"/>
      <c r="CN356" s="399"/>
      <c r="CO356" s="399">
        <v>-1129.5403000000001</v>
      </c>
      <c r="CP356" s="399">
        <v>0</v>
      </c>
      <c r="CQ356" s="399">
        <v>31</v>
      </c>
      <c r="CR356" s="399">
        <v>-34.745839927517864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-3.9945008023614719</v>
      </c>
      <c r="DA356" s="399">
        <v>0</v>
      </c>
      <c r="DB356" s="399">
        <v>0</v>
      </c>
      <c r="DC356" s="399">
        <v>0</v>
      </c>
      <c r="DD356" s="399">
        <v>0</v>
      </c>
      <c r="DE356" s="399">
        <v>0</v>
      </c>
      <c r="DF356" s="399">
        <v>0</v>
      </c>
      <c r="DG356" s="399">
        <v>0</v>
      </c>
      <c r="DH356" s="399">
        <v>0</v>
      </c>
      <c r="DI356" s="399">
        <v>-26.659542985882638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-3.6557124815954012</v>
      </c>
      <c r="DP356" s="399">
        <v>-0.43608365767845747</v>
      </c>
      <c r="DQ356" s="399">
        <v>0</v>
      </c>
      <c r="DR356" s="399">
        <v>0</v>
      </c>
      <c r="DS356" s="399"/>
      <c r="DT356" s="399"/>
      <c r="DU356" s="399"/>
      <c r="DV356" s="399">
        <v>2533.9662983029962</v>
      </c>
      <c r="DW356" s="399">
        <v>0</v>
      </c>
      <c r="DX356" s="399">
        <v>0</v>
      </c>
      <c r="DY356" s="399">
        <v>-1129.5403000000001</v>
      </c>
      <c r="DZ356" s="399">
        <v>0</v>
      </c>
      <c r="EA356" s="399">
        <v>0</v>
      </c>
      <c r="EB356" s="399">
        <v>0</v>
      </c>
      <c r="EC356" s="399">
        <v>-1094.7225595793043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218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2361</v>
      </c>
      <c r="C357" s="399" t="s">
        <v>2328</v>
      </c>
      <c r="D357" s="399" t="s">
        <v>2335</v>
      </c>
      <c r="E357" s="399" t="s">
        <v>894</v>
      </c>
      <c r="F357" s="399" t="s">
        <v>2342</v>
      </c>
      <c r="G357" s="399" t="s">
        <v>2340</v>
      </c>
      <c r="H357" s="399" t="s">
        <v>1239</v>
      </c>
      <c r="I357" s="399" t="s">
        <v>1239</v>
      </c>
      <c r="J357" s="399" t="s">
        <v>2329</v>
      </c>
      <c r="K357" s="789">
        <v>44621</v>
      </c>
      <c r="L357" s="399">
        <v>0</v>
      </c>
      <c r="M357" s="399">
        <v>0</v>
      </c>
      <c r="N357" s="399">
        <v>1.1040000000000001</v>
      </c>
      <c r="O357" s="399">
        <v>1.1040000000000001</v>
      </c>
      <c r="P357" s="399">
        <v>1.1040000000000001</v>
      </c>
      <c r="Q357" s="399">
        <v>1.1040000000000001</v>
      </c>
      <c r="R357" s="399"/>
      <c r="S357" s="399">
        <v>521.86</v>
      </c>
      <c r="T357" s="399">
        <v>141.32</v>
      </c>
      <c r="U357" s="399"/>
      <c r="V357" s="399">
        <v>732.15072000000009</v>
      </c>
      <c r="W357" s="399">
        <v>732.15072000000009</v>
      </c>
      <c r="X357" s="399">
        <v>572.23631999999998</v>
      </c>
      <c r="Y357" s="399">
        <v>0</v>
      </c>
      <c r="Z357" s="399">
        <v>66.987454912850396</v>
      </c>
      <c r="AA357" s="399">
        <v>0</v>
      </c>
      <c r="AB357" s="399">
        <v>0</v>
      </c>
      <c r="AC357" s="399">
        <v>0</v>
      </c>
      <c r="AD357" s="399">
        <v>118.73939765447243</v>
      </c>
      <c r="AE357" s="399">
        <v>358.74567752327619</v>
      </c>
      <c r="AF357" s="399">
        <v>156.01609875531258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10.357719553265399</v>
      </c>
      <c r="AM357" s="399"/>
      <c r="AN357" s="399">
        <v>1.5311008185572281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19.767007404140358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/>
      <c r="BR357" s="399">
        <v>68.668800000000005</v>
      </c>
      <c r="BS357" s="399"/>
      <c r="BT357" s="399"/>
      <c r="BU357" s="399"/>
      <c r="BV357" s="399">
        <v>175.78310615945293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501.74300000000005</v>
      </c>
      <c r="CJ357" s="399">
        <v>-142.57035999999994</v>
      </c>
      <c r="CK357" s="399"/>
      <c r="CL357" s="399"/>
      <c r="CM357" s="399"/>
      <c r="CN357" s="399"/>
      <c r="CO357" s="399">
        <v>-159.91440000000003</v>
      </c>
      <c r="CP357" s="399">
        <v>0</v>
      </c>
      <c r="CQ357" s="399">
        <v>31</v>
      </c>
      <c r="CR357" s="399">
        <v>-4.9191340446242862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-0.56552050343769622</v>
      </c>
      <c r="DA357" s="399">
        <v>0</v>
      </c>
      <c r="DB357" s="399">
        <v>0</v>
      </c>
      <c r="DC357" s="399">
        <v>0</v>
      </c>
      <c r="DD357" s="399">
        <v>0</v>
      </c>
      <c r="DE357" s="399">
        <v>0</v>
      </c>
      <c r="DF357" s="399">
        <v>0</v>
      </c>
      <c r="DG357" s="399">
        <v>0</v>
      </c>
      <c r="DH357" s="399">
        <v>0</v>
      </c>
      <c r="DI357" s="399">
        <v>-3.7743184735078898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-0.51755662729947893</v>
      </c>
      <c r="DP357" s="399">
        <v>-6.1738440379202064E-2</v>
      </c>
      <c r="DQ357" s="399">
        <v>0</v>
      </c>
      <c r="DR357" s="399">
        <v>0</v>
      </c>
      <c r="DS357" s="399"/>
      <c r="DT357" s="399"/>
      <c r="DU357" s="399"/>
      <c r="DV357" s="399">
        <v>358.74567752327619</v>
      </c>
      <c r="DW357" s="399">
        <v>0</v>
      </c>
      <c r="DX357" s="399">
        <v>0</v>
      </c>
      <c r="DY357" s="399">
        <v>-159.91440000000006</v>
      </c>
      <c r="DZ357" s="399">
        <v>0</v>
      </c>
      <c r="EA357" s="399">
        <v>0</v>
      </c>
      <c r="EB357" s="399">
        <v>0</v>
      </c>
      <c r="EC357" s="399">
        <v>-154.98508666011179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218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956</v>
      </c>
      <c r="C358" s="399" t="s">
        <v>2328</v>
      </c>
      <c r="D358" s="399" t="s">
        <v>2335</v>
      </c>
      <c r="E358" s="399" t="s">
        <v>894</v>
      </c>
      <c r="F358" s="399" t="s">
        <v>2342</v>
      </c>
      <c r="G358" s="399" t="s">
        <v>2341</v>
      </c>
      <c r="H358" s="399" t="s">
        <v>1239</v>
      </c>
      <c r="I358" s="399" t="s">
        <v>1239</v>
      </c>
      <c r="J358" s="399" t="s">
        <v>2329</v>
      </c>
      <c r="K358" s="789">
        <v>44621</v>
      </c>
      <c r="L358" s="399">
        <v>0</v>
      </c>
      <c r="M358" s="399">
        <v>0</v>
      </c>
      <c r="N358" s="399">
        <v>9.7349999999999994</v>
      </c>
      <c r="O358" s="399">
        <v>3.8940000000000001</v>
      </c>
      <c r="P358" s="399">
        <v>9.7349999999999994</v>
      </c>
      <c r="Q358" s="399">
        <v>3.8940000000000001</v>
      </c>
      <c r="R358" s="399"/>
      <c r="S358" s="399">
        <v>521.86</v>
      </c>
      <c r="T358" s="399">
        <v>141.32</v>
      </c>
      <c r="U358" s="399"/>
      <c r="V358" s="399">
        <v>6456.0573000000004</v>
      </c>
      <c r="W358" s="399">
        <v>6456.0573000000004</v>
      </c>
      <c r="X358" s="399">
        <v>5045.9425499999998</v>
      </c>
      <c r="Y358" s="399">
        <v>0</v>
      </c>
      <c r="Z358" s="399">
        <v>590.69100867445513</v>
      </c>
      <c r="AA358" s="399">
        <v>0</v>
      </c>
      <c r="AB358" s="399">
        <v>0</v>
      </c>
      <c r="AC358" s="399">
        <v>0</v>
      </c>
      <c r="AD358" s="399">
        <v>1047.0362646433775</v>
      </c>
      <c r="AE358" s="399">
        <v>3163.3959879430195</v>
      </c>
      <c r="AF358" s="399">
        <v>1375.7397838613838</v>
      </c>
      <c r="AG358" s="399">
        <v>0</v>
      </c>
      <c r="AH358" s="399">
        <v>0</v>
      </c>
      <c r="AI358" s="399">
        <v>0</v>
      </c>
      <c r="AJ358" s="399">
        <v>0</v>
      </c>
      <c r="AK358" s="399">
        <v>0</v>
      </c>
      <c r="AL358" s="399">
        <v>91.333695517245147</v>
      </c>
      <c r="AM358" s="399"/>
      <c r="AN358" s="399">
        <v>13.501147163636425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174.30418213705286</v>
      </c>
      <c r="BH358" s="399">
        <v>0</v>
      </c>
      <c r="BI358" s="399">
        <v>0</v>
      </c>
      <c r="BJ358" s="399">
        <v>0</v>
      </c>
      <c r="BK358" s="399">
        <v>0</v>
      </c>
      <c r="BL358" s="399">
        <v>0</v>
      </c>
      <c r="BM358" s="399"/>
      <c r="BN358" s="399"/>
      <c r="BO358" s="399"/>
      <c r="BP358" s="399"/>
      <c r="BQ358" s="399"/>
      <c r="BR358" s="399"/>
      <c r="BS358" s="399">
        <v>3269.7723299999993</v>
      </c>
      <c r="BT358" s="399"/>
      <c r="BU358" s="399"/>
      <c r="BV358" s="399">
        <v>1550.0439659984368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1774.3456999999999</v>
      </c>
      <c r="CJ358" s="399">
        <v>-498.1837600000008</v>
      </c>
      <c r="CK358" s="399"/>
      <c r="CL358" s="399"/>
      <c r="CM358" s="399"/>
      <c r="CN358" s="399"/>
      <c r="CO358" s="399">
        <v>-1410.1147500000002</v>
      </c>
      <c r="CP358" s="399">
        <v>0</v>
      </c>
      <c r="CQ358" s="399">
        <v>31</v>
      </c>
      <c r="CR358" s="399">
        <v>-43.376603192406947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-4.9867229175415559</v>
      </c>
      <c r="DA358" s="399">
        <v>0</v>
      </c>
      <c r="DB358" s="399">
        <v>0</v>
      </c>
      <c r="DC358" s="399">
        <v>0</v>
      </c>
      <c r="DD358" s="399">
        <v>0</v>
      </c>
      <c r="DE358" s="399">
        <v>0</v>
      </c>
      <c r="DF358" s="399">
        <v>0</v>
      </c>
      <c r="DG358" s="399">
        <v>0</v>
      </c>
      <c r="DH358" s="399">
        <v>0</v>
      </c>
      <c r="DI358" s="399">
        <v>-33.281694148187739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-4.5637805858337117</v>
      </c>
      <c r="DP358" s="399">
        <v>-0.54440554084377801</v>
      </c>
      <c r="DQ358" s="399">
        <v>0</v>
      </c>
      <c r="DR358" s="399">
        <v>0</v>
      </c>
      <c r="DS358" s="399"/>
      <c r="DT358" s="399"/>
      <c r="DU358" s="399"/>
      <c r="DV358" s="399">
        <v>3163.3959879430195</v>
      </c>
      <c r="DW358" s="399">
        <v>0</v>
      </c>
      <c r="DX358" s="399">
        <v>0</v>
      </c>
      <c r="DY358" s="399">
        <v>-1410.1147500000002</v>
      </c>
      <c r="DZ358" s="399">
        <v>0</v>
      </c>
      <c r="EA358" s="399">
        <v>0</v>
      </c>
      <c r="EB358" s="399">
        <v>0</v>
      </c>
      <c r="EC358" s="399">
        <v>-1366.6483864458228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218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2361</v>
      </c>
      <c r="C359" s="399" t="s">
        <v>2328</v>
      </c>
      <c r="D359" s="399" t="s">
        <v>2335</v>
      </c>
      <c r="E359" s="399" t="s">
        <v>894</v>
      </c>
      <c r="F359" s="399" t="s">
        <v>2342</v>
      </c>
      <c r="G359" s="399" t="s">
        <v>2341</v>
      </c>
      <c r="H359" s="399" t="s">
        <v>1239</v>
      </c>
      <c r="I359" s="399" t="s">
        <v>1239</v>
      </c>
      <c r="J359" s="399" t="s">
        <v>2329</v>
      </c>
      <c r="K359" s="789">
        <v>44621</v>
      </c>
      <c r="L359" s="399">
        <v>0</v>
      </c>
      <c r="M359" s="399">
        <v>0</v>
      </c>
      <c r="N359" s="399">
        <v>5.3739999999999997</v>
      </c>
      <c r="O359" s="399">
        <v>2.1496</v>
      </c>
      <c r="P359" s="399">
        <v>5.3739999999999997</v>
      </c>
      <c r="Q359" s="399">
        <v>2.1496</v>
      </c>
      <c r="R359" s="399"/>
      <c r="S359" s="399">
        <v>521.86</v>
      </c>
      <c r="T359" s="399">
        <v>141.32</v>
      </c>
      <c r="U359" s="399"/>
      <c r="V359" s="399">
        <v>3563.9293200000002</v>
      </c>
      <c r="W359" s="399">
        <v>3563.9293200000002</v>
      </c>
      <c r="X359" s="399">
        <v>2785.50542</v>
      </c>
      <c r="Y359" s="399">
        <v>0</v>
      </c>
      <c r="Z359" s="399">
        <v>326.0784263601974</v>
      </c>
      <c r="AA359" s="399">
        <v>0</v>
      </c>
      <c r="AB359" s="399">
        <v>0</v>
      </c>
      <c r="AC359" s="399">
        <v>0</v>
      </c>
      <c r="AD359" s="399">
        <v>577.99413314776689</v>
      </c>
      <c r="AE359" s="399">
        <v>1746.2855715671069</v>
      </c>
      <c r="AF359" s="399">
        <v>759.44792999189281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50.418826883377037</v>
      </c>
      <c r="AM359" s="399"/>
      <c r="AN359" s="399">
        <v>7.4530215569986797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96.220921911096255</v>
      </c>
      <c r="BH359" s="399">
        <v>0</v>
      </c>
      <c r="BI359" s="399">
        <v>0</v>
      </c>
      <c r="BJ359" s="399">
        <v>0</v>
      </c>
      <c r="BK359" s="399">
        <v>0</v>
      </c>
      <c r="BL359" s="399">
        <v>0</v>
      </c>
      <c r="BM359" s="399"/>
      <c r="BN359" s="399"/>
      <c r="BO359" s="399"/>
      <c r="BP359" s="399"/>
      <c r="BQ359" s="399"/>
      <c r="BR359" s="399"/>
      <c r="BS359" s="399">
        <v>1805.0083719999998</v>
      </c>
      <c r="BT359" s="399"/>
      <c r="BU359" s="399"/>
      <c r="BV359" s="399">
        <v>855.6688519029891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980.67949999999996</v>
      </c>
      <c r="CJ359" s="399">
        <v>-273.83556399999998</v>
      </c>
      <c r="CK359" s="399"/>
      <c r="CL359" s="399"/>
      <c r="CM359" s="399"/>
      <c r="CN359" s="399"/>
      <c r="CO359" s="399">
        <v>-778.42390000000012</v>
      </c>
      <c r="CP359" s="399">
        <v>0</v>
      </c>
      <c r="CQ359" s="399">
        <v>31</v>
      </c>
      <c r="CR359" s="399">
        <v>-23.945132568669123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-2.7528144795960543</v>
      </c>
      <c r="DA359" s="399">
        <v>0</v>
      </c>
      <c r="DB359" s="399">
        <v>0</v>
      </c>
      <c r="DC359" s="399">
        <v>0</v>
      </c>
      <c r="DD359" s="399">
        <v>0</v>
      </c>
      <c r="DE359" s="399">
        <v>0</v>
      </c>
      <c r="DF359" s="399">
        <v>0</v>
      </c>
      <c r="DG359" s="399">
        <v>0</v>
      </c>
      <c r="DH359" s="399">
        <v>0</v>
      </c>
      <c r="DI359" s="399">
        <v>-18.372452424484948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-2.5193381477422108</v>
      </c>
      <c r="DP359" s="399">
        <v>-0.30052751684586188</v>
      </c>
      <c r="DQ359" s="399">
        <v>0</v>
      </c>
      <c r="DR359" s="399">
        <v>0</v>
      </c>
      <c r="DS359" s="399"/>
      <c r="DT359" s="399"/>
      <c r="DU359" s="399"/>
      <c r="DV359" s="399">
        <v>1746.2855715671069</v>
      </c>
      <c r="DW359" s="399">
        <v>0</v>
      </c>
      <c r="DX359" s="399">
        <v>0</v>
      </c>
      <c r="DY359" s="399">
        <v>-778.42390000000023</v>
      </c>
      <c r="DZ359" s="399">
        <v>0</v>
      </c>
      <c r="EA359" s="399">
        <v>0</v>
      </c>
      <c r="EB359" s="399">
        <v>0</v>
      </c>
      <c r="EC359" s="399">
        <v>-754.42921712992813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218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956</v>
      </c>
      <c r="C360" s="399" t="s">
        <v>2328</v>
      </c>
      <c r="D360" s="399" t="s">
        <v>1823</v>
      </c>
      <c r="E360" s="399" t="s">
        <v>889</v>
      </c>
      <c r="F360" s="399" t="s">
        <v>889</v>
      </c>
      <c r="G360" s="399" t="s">
        <v>1239</v>
      </c>
      <c r="H360" s="399" t="s">
        <v>1239</v>
      </c>
      <c r="I360" s="399" t="s">
        <v>1239</v>
      </c>
      <c r="J360" s="399" t="s">
        <v>2329</v>
      </c>
      <c r="K360" s="789">
        <v>44652</v>
      </c>
      <c r="L360" s="399">
        <v>0</v>
      </c>
      <c r="M360" s="399">
        <v>0</v>
      </c>
      <c r="N360" s="399">
        <v>969.62</v>
      </c>
      <c r="O360" s="399">
        <v>969.62</v>
      </c>
      <c r="P360" s="399">
        <v>969.62</v>
      </c>
      <c r="Q360" s="399">
        <v>969.62</v>
      </c>
      <c r="R360" s="399"/>
      <c r="S360" s="399">
        <v>521.86</v>
      </c>
      <c r="T360" s="399">
        <v>141.32</v>
      </c>
      <c r="U360" s="399"/>
      <c r="V360" s="399">
        <v>643032.59159999993</v>
      </c>
      <c r="W360" s="399">
        <v>643032.59159999993</v>
      </c>
      <c r="X360" s="399">
        <v>502583.13459999999</v>
      </c>
      <c r="Y360" s="399">
        <v>0</v>
      </c>
      <c r="Z360" s="399">
        <v>58833.67394257064</v>
      </c>
      <c r="AA360" s="399">
        <v>0</v>
      </c>
      <c r="AB360" s="399">
        <v>0</v>
      </c>
      <c r="AC360" s="399">
        <v>0</v>
      </c>
      <c r="AD360" s="399">
        <v>104286.31771171154</v>
      </c>
      <c r="AE360" s="399">
        <v>315078.78971025278</v>
      </c>
      <c r="AF360" s="399">
        <v>137025.66093761427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9096.9674214105034</v>
      </c>
      <c r="AM360" s="399"/>
      <c r="AN360" s="399">
        <v>1344.7336736317566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17360.947209422618</v>
      </c>
      <c r="BH360" s="399">
        <v>0</v>
      </c>
      <c r="BI360" s="399">
        <v>4168.74</v>
      </c>
      <c r="BJ360" s="399">
        <v>19354.259999999998</v>
      </c>
      <c r="BK360" s="399">
        <v>135293.82999999999</v>
      </c>
      <c r="BL360" s="399">
        <v>4803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154386.6081470369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502583.13459999999</v>
      </c>
      <c r="CJ360" s="399">
        <v>-140449.48699999996</v>
      </c>
      <c r="CK360" s="399"/>
      <c r="CL360" s="399"/>
      <c r="CM360" s="399"/>
      <c r="CN360" s="399"/>
      <c r="CO360" s="399">
        <v>-140449.45700000002</v>
      </c>
      <c r="CP360" s="399">
        <v>0</v>
      </c>
      <c r="CQ360" s="399">
        <v>30</v>
      </c>
      <c r="CR360" s="399">
        <v>-4320.3720582866808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-496.68477404280566</v>
      </c>
      <c r="DA360" s="399">
        <v>0</v>
      </c>
      <c r="DB360" s="399">
        <v>0</v>
      </c>
      <c r="DC360" s="399">
        <v>0</v>
      </c>
      <c r="DD360" s="399">
        <v>0</v>
      </c>
      <c r="DE360" s="399">
        <v>0</v>
      </c>
      <c r="DF360" s="399">
        <v>0</v>
      </c>
      <c r="DG360" s="399">
        <v>0</v>
      </c>
      <c r="DH360" s="399">
        <v>0</v>
      </c>
      <c r="DI360" s="399">
        <v>-3314.9045998937581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-454.55910956713888</v>
      </c>
      <c r="DP360" s="399">
        <v>-54.223574783045024</v>
      </c>
      <c r="DQ360" s="399">
        <v>0</v>
      </c>
      <c r="DR360" s="399">
        <v>0</v>
      </c>
      <c r="DS360" s="399"/>
      <c r="DT360" s="399"/>
      <c r="DU360" s="399"/>
      <c r="DV360" s="399">
        <v>315078.78971025278</v>
      </c>
      <c r="DW360" s="399">
        <v>0</v>
      </c>
      <c r="DX360" s="399">
        <v>0</v>
      </c>
      <c r="DY360" s="399">
        <v>-140449.45699999999</v>
      </c>
      <c r="DZ360" s="399">
        <v>0</v>
      </c>
      <c r="EA360" s="399">
        <v>0</v>
      </c>
      <c r="EB360" s="399">
        <v>0</v>
      </c>
      <c r="EC360" s="399">
        <v>-136120.14468059567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218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2360</v>
      </c>
      <c r="C361" s="399" t="s">
        <v>2328</v>
      </c>
      <c r="D361" s="399" t="s">
        <v>1823</v>
      </c>
      <c r="E361" s="399" t="s">
        <v>889</v>
      </c>
      <c r="F361" s="399" t="s">
        <v>889</v>
      </c>
      <c r="G361" s="399" t="s">
        <v>1239</v>
      </c>
      <c r="H361" s="399" t="s">
        <v>1239</v>
      </c>
      <c r="I361" s="399" t="s">
        <v>1239</v>
      </c>
      <c r="J361" s="399" t="s">
        <v>2329</v>
      </c>
      <c r="K361" s="789">
        <v>44652</v>
      </c>
      <c r="L361" s="399">
        <v>0</v>
      </c>
      <c r="M361" s="399">
        <v>0</v>
      </c>
      <c r="N361" s="399">
        <v>0.23899999999999999</v>
      </c>
      <c r="O361" s="399">
        <v>0.23899999999999999</v>
      </c>
      <c r="P361" s="399">
        <v>0.23899999999999999</v>
      </c>
      <c r="Q361" s="399">
        <v>0.23899999999999999</v>
      </c>
      <c r="R361" s="399"/>
      <c r="S361" s="399">
        <v>521.86</v>
      </c>
      <c r="T361" s="399">
        <v>141.32</v>
      </c>
      <c r="U361" s="399"/>
      <c r="V361" s="399">
        <v>158.50002000000001</v>
      </c>
      <c r="W361" s="399">
        <v>158.50002000000001</v>
      </c>
      <c r="X361" s="399">
        <v>123.88086999999999</v>
      </c>
      <c r="Y361" s="399">
        <v>0</v>
      </c>
      <c r="Z361" s="399">
        <v>14.501813155952211</v>
      </c>
      <c r="AA361" s="399">
        <v>0</v>
      </c>
      <c r="AB361" s="399">
        <v>0</v>
      </c>
      <c r="AC361" s="399">
        <v>0</v>
      </c>
      <c r="AD361" s="399">
        <v>25.705358731357705</v>
      </c>
      <c r="AE361" s="399">
        <v>77.663239971071562</v>
      </c>
      <c r="AF361" s="399">
        <v>33.775224277644654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2.2422961714043752</v>
      </c>
      <c r="AM361" s="399"/>
      <c r="AN361" s="399">
        <v>0.3314611373507042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4.2792706246282108</v>
      </c>
      <c r="BH361" s="399">
        <v>0</v>
      </c>
      <c r="BI361" s="399">
        <v>1.07</v>
      </c>
      <c r="BJ361" s="399">
        <v>4.91</v>
      </c>
      <c r="BK361" s="399">
        <v>45.15</v>
      </c>
      <c r="BL361" s="399">
        <v>0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38.054494902272864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124.39919999999999</v>
      </c>
      <c r="CJ361" s="399">
        <v>-34.130820000000014</v>
      </c>
      <c r="CK361" s="399"/>
      <c r="CL361" s="399"/>
      <c r="CM361" s="399"/>
      <c r="CN361" s="399"/>
      <c r="CO361" s="399">
        <v>-34.619150000000005</v>
      </c>
      <c r="CP361" s="399">
        <v>0</v>
      </c>
      <c r="CQ361" s="399">
        <v>30</v>
      </c>
      <c r="CR361" s="399">
        <v>-1.0649212288634118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-0.12242699304493598</v>
      </c>
      <c r="DA361" s="399">
        <v>0</v>
      </c>
      <c r="DB361" s="399">
        <v>0</v>
      </c>
      <c r="DC361" s="399">
        <v>0</v>
      </c>
      <c r="DD361" s="399">
        <v>0</v>
      </c>
      <c r="DE361" s="399">
        <v>0</v>
      </c>
      <c r="DF361" s="399">
        <v>0</v>
      </c>
      <c r="DG361" s="399">
        <v>0</v>
      </c>
      <c r="DH361" s="399">
        <v>0</v>
      </c>
      <c r="DI361" s="399">
        <v>-0.8170852492467251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-0.11204350898965165</v>
      </c>
      <c r="DP361" s="399">
        <v>-1.3365477582091723E-2</v>
      </c>
      <c r="DQ361" s="399">
        <v>0</v>
      </c>
      <c r="DR361" s="399">
        <v>0</v>
      </c>
      <c r="DS361" s="399"/>
      <c r="DT361" s="399"/>
      <c r="DU361" s="399"/>
      <c r="DV361" s="399">
        <v>77.663239971071562</v>
      </c>
      <c r="DW361" s="399">
        <v>0</v>
      </c>
      <c r="DX361" s="399">
        <v>0</v>
      </c>
      <c r="DY361" s="399">
        <v>-34.619150000000005</v>
      </c>
      <c r="DZ361" s="399">
        <v>0</v>
      </c>
      <c r="EA361" s="399">
        <v>0</v>
      </c>
      <c r="EB361" s="399">
        <v>0</v>
      </c>
      <c r="EC361" s="399">
        <v>-33.552025101237966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218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2361</v>
      </c>
      <c r="C362" s="399" t="s">
        <v>2328</v>
      </c>
      <c r="D362" s="399" t="s">
        <v>1823</v>
      </c>
      <c r="E362" s="399" t="s">
        <v>889</v>
      </c>
      <c r="F362" s="399" t="s">
        <v>889</v>
      </c>
      <c r="G362" s="399" t="s">
        <v>1239</v>
      </c>
      <c r="H362" s="399" t="s">
        <v>1239</v>
      </c>
      <c r="I362" s="399" t="s">
        <v>1239</v>
      </c>
      <c r="J362" s="399" t="s">
        <v>2329</v>
      </c>
      <c r="K362" s="789">
        <v>44652</v>
      </c>
      <c r="L362" s="399">
        <v>0</v>
      </c>
      <c r="M362" s="399">
        <v>0</v>
      </c>
      <c r="N362" s="399">
        <v>17.077000000000002</v>
      </c>
      <c r="O362" s="399">
        <v>17.077000000000002</v>
      </c>
      <c r="P362" s="399">
        <v>17.077000000000002</v>
      </c>
      <c r="Q362" s="399">
        <v>17.077000000000002</v>
      </c>
      <c r="R362" s="399"/>
      <c r="S362" s="399">
        <v>521.86</v>
      </c>
      <c r="T362" s="399">
        <v>141.32</v>
      </c>
      <c r="U362" s="399"/>
      <c r="V362" s="399">
        <v>11325.124860000002</v>
      </c>
      <c r="W362" s="399">
        <v>11325.124860000002</v>
      </c>
      <c r="X362" s="399">
        <v>8851.5214100000012</v>
      </c>
      <c r="Y362" s="399">
        <v>0</v>
      </c>
      <c r="Z362" s="399">
        <v>1036.1818546619077</v>
      </c>
      <c r="AA362" s="399">
        <v>0</v>
      </c>
      <c r="AB362" s="399">
        <v>0</v>
      </c>
      <c r="AC362" s="399">
        <v>0</v>
      </c>
      <c r="AD362" s="399">
        <v>1836.6962805665087</v>
      </c>
      <c r="AE362" s="399">
        <v>5549.1847237907496</v>
      </c>
      <c r="AF362" s="399">
        <v>2413.3033681562256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160.21628334339965</v>
      </c>
      <c r="AM362" s="399"/>
      <c r="AN362" s="399">
        <v>23.683522353715382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305.76194333379067</v>
      </c>
      <c r="BH362" s="399">
        <v>0</v>
      </c>
      <c r="BI362" s="399">
        <v>74.53</v>
      </c>
      <c r="BJ362" s="399">
        <v>346.34</v>
      </c>
      <c r="BK362" s="399">
        <v>6755.4</v>
      </c>
      <c r="BL362" s="399">
        <v>130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2719.065311490016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8853.0763999999981</v>
      </c>
      <c r="CJ362" s="399">
        <v>-2472.0784600000043</v>
      </c>
      <c r="CK362" s="399"/>
      <c r="CL362" s="399"/>
      <c r="CM362" s="399"/>
      <c r="CN362" s="399"/>
      <c r="CO362" s="399">
        <v>-2473.6034500000005</v>
      </c>
      <c r="CP362" s="399">
        <v>0</v>
      </c>
      <c r="CQ362" s="399">
        <v>30</v>
      </c>
      <c r="CR362" s="399">
        <v>-76.090626884102676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-8.7476391641353075</v>
      </c>
      <c r="DA362" s="399">
        <v>0</v>
      </c>
      <c r="DB362" s="399">
        <v>0</v>
      </c>
      <c r="DC362" s="399">
        <v>0</v>
      </c>
      <c r="DD362" s="399">
        <v>0</v>
      </c>
      <c r="DE362" s="399">
        <v>0</v>
      </c>
      <c r="DF362" s="399">
        <v>0</v>
      </c>
      <c r="DG362" s="399">
        <v>0</v>
      </c>
      <c r="DH362" s="399">
        <v>0</v>
      </c>
      <c r="DI362" s="399">
        <v>-58.382279503708446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-8.0057196778923867</v>
      </c>
      <c r="DP362" s="399">
        <v>-0.95498853836560826</v>
      </c>
      <c r="DQ362" s="399">
        <v>0</v>
      </c>
      <c r="DR362" s="399">
        <v>0</v>
      </c>
      <c r="DS362" s="399"/>
      <c r="DT362" s="399"/>
      <c r="DU362" s="399"/>
      <c r="DV362" s="399">
        <v>5549.1847237907496</v>
      </c>
      <c r="DW362" s="399">
        <v>0</v>
      </c>
      <c r="DX362" s="399">
        <v>0</v>
      </c>
      <c r="DY362" s="399">
        <v>-2473.6034500000014</v>
      </c>
      <c r="DZ362" s="399">
        <v>0</v>
      </c>
      <c r="EA362" s="399">
        <v>0</v>
      </c>
      <c r="EB362" s="399">
        <v>0</v>
      </c>
      <c r="EC362" s="399">
        <v>-2397.3553667524716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218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2361</v>
      </c>
      <c r="C363" s="399" t="s">
        <v>2328</v>
      </c>
      <c r="D363" s="399" t="s">
        <v>1823</v>
      </c>
      <c r="E363" s="399" t="s">
        <v>889</v>
      </c>
      <c r="F363" s="399" t="s">
        <v>889</v>
      </c>
      <c r="G363" s="399" t="s">
        <v>1239</v>
      </c>
      <c r="H363" s="399" t="s">
        <v>1239</v>
      </c>
      <c r="I363" s="399" t="s">
        <v>1239</v>
      </c>
      <c r="J363" s="399" t="s">
        <v>2329</v>
      </c>
      <c r="K363" s="789">
        <v>44652</v>
      </c>
      <c r="L363" s="399">
        <v>0</v>
      </c>
      <c r="M363" s="399">
        <v>0</v>
      </c>
      <c r="N363" s="399">
        <v>-0.20499999999999999</v>
      </c>
      <c r="O363" s="399">
        <v>-0.20499999999999999</v>
      </c>
      <c r="P363" s="399">
        <v>-0.20499999999999999</v>
      </c>
      <c r="Q363" s="399">
        <v>-0.20499999999999999</v>
      </c>
      <c r="R363" s="399"/>
      <c r="S363" s="399">
        <v>521.86</v>
      </c>
      <c r="T363" s="399">
        <v>141.32</v>
      </c>
      <c r="U363" s="399"/>
      <c r="V363" s="399">
        <v>-135.95189999999999</v>
      </c>
      <c r="W363" s="399">
        <v>-135.95189999999999</v>
      </c>
      <c r="X363" s="399">
        <v>-106.25764999999998</v>
      </c>
      <c r="Y363" s="399">
        <v>0</v>
      </c>
      <c r="Z363" s="399">
        <v>-12.438793711172398</v>
      </c>
      <c r="AA363" s="399">
        <v>0</v>
      </c>
      <c r="AB363" s="399">
        <v>0</v>
      </c>
      <c r="AC363" s="399">
        <v>0</v>
      </c>
      <c r="AD363" s="399">
        <v>-22.048529455767067</v>
      </c>
      <c r="AE363" s="399">
        <v>-66.614912945898197</v>
      </c>
      <c r="AF363" s="399">
        <v>-28.970380656557133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-1.9233084315393174</v>
      </c>
      <c r="AM363" s="399"/>
      <c r="AN363" s="399">
        <v>-0.28430767011252872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-3.6705040922543231</v>
      </c>
      <c r="BH363" s="399">
        <v>0</v>
      </c>
      <c r="BI363" s="399">
        <v>-0.91</v>
      </c>
      <c r="BJ363" s="399">
        <v>-4.22</v>
      </c>
      <c r="BK363" s="399">
        <v>-43.34</v>
      </c>
      <c r="BL363" s="399">
        <v>2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-32.640884748811459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-108.8493</v>
      </c>
      <c r="CJ363" s="399">
        <v>27.072599999999994</v>
      </c>
      <c r="CK363" s="399"/>
      <c r="CL363" s="399"/>
      <c r="CM363" s="399"/>
      <c r="CN363" s="399"/>
      <c r="CO363" s="399">
        <v>29.694250000000004</v>
      </c>
      <c r="CP363" s="399">
        <v>0</v>
      </c>
      <c r="CQ363" s="399">
        <v>30</v>
      </c>
      <c r="CR363" s="399">
        <v>0.9134261586485195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0.10501060072891732</v>
      </c>
      <c r="DA363" s="399">
        <v>0</v>
      </c>
      <c r="DB363" s="399">
        <v>0</v>
      </c>
      <c r="DC363" s="399">
        <v>0</v>
      </c>
      <c r="DD363" s="399">
        <v>0</v>
      </c>
      <c r="DE363" s="399">
        <v>0</v>
      </c>
      <c r="DF363" s="399">
        <v>0</v>
      </c>
      <c r="DG363" s="399">
        <v>0</v>
      </c>
      <c r="DH363" s="399">
        <v>0</v>
      </c>
      <c r="DI363" s="399">
        <v>0.70084718031622728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9.6104265032964653E-2</v>
      </c>
      <c r="DP363" s="399">
        <v>1.1464112570413409E-2</v>
      </c>
      <c r="DQ363" s="399">
        <v>0</v>
      </c>
      <c r="DR363" s="399">
        <v>0</v>
      </c>
      <c r="DS363" s="399"/>
      <c r="DT363" s="399"/>
      <c r="DU363" s="399"/>
      <c r="DV363" s="399">
        <v>-66.614912945898197</v>
      </c>
      <c r="DW363" s="399">
        <v>0</v>
      </c>
      <c r="DX363" s="399">
        <v>0</v>
      </c>
      <c r="DY363" s="399">
        <v>29.694249999999997</v>
      </c>
      <c r="DZ363" s="399">
        <v>0</v>
      </c>
      <c r="EA363" s="399">
        <v>0</v>
      </c>
      <c r="EB363" s="399">
        <v>0</v>
      </c>
      <c r="EC363" s="399">
        <v>28.778933664241769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218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956</v>
      </c>
      <c r="C364" s="399" t="s">
        <v>2328</v>
      </c>
      <c r="D364" s="399" t="s">
        <v>1823</v>
      </c>
      <c r="E364" s="399" t="s">
        <v>889</v>
      </c>
      <c r="F364" s="399" t="s">
        <v>2330</v>
      </c>
      <c r="G364" s="399" t="s">
        <v>1239</v>
      </c>
      <c r="H364" s="399" t="s">
        <v>1239</v>
      </c>
      <c r="I364" s="399" t="s">
        <v>1239</v>
      </c>
      <c r="J364" s="399" t="s">
        <v>2329</v>
      </c>
      <c r="K364" s="789">
        <v>44652</v>
      </c>
      <c r="L364" s="399">
        <v>0</v>
      </c>
      <c r="M364" s="399">
        <v>0</v>
      </c>
      <c r="N364" s="399">
        <v>4.08</v>
      </c>
      <c r="O364" s="399">
        <v>4.08</v>
      </c>
      <c r="P364" s="399">
        <v>4.08</v>
      </c>
      <c r="Q364" s="399">
        <v>4.08</v>
      </c>
      <c r="R364" s="399"/>
      <c r="S364" s="399">
        <v>451.8</v>
      </c>
      <c r="T364" s="399">
        <v>141.32</v>
      </c>
      <c r="U364" s="399"/>
      <c r="V364" s="399">
        <v>2419.9295999999999</v>
      </c>
      <c r="W364" s="399">
        <v>2419.9295999999999</v>
      </c>
      <c r="X364" s="399">
        <v>1844.8127999999997</v>
      </c>
      <c r="Y364" s="399">
        <v>0</v>
      </c>
      <c r="Z364" s="399">
        <v>0</v>
      </c>
      <c r="AA364" s="399">
        <v>0</v>
      </c>
      <c r="AB364" s="399">
        <v>0</v>
      </c>
      <c r="AC364" s="399">
        <v>0</v>
      </c>
      <c r="AD364" s="399">
        <v>438.81951307087633</v>
      </c>
      <c r="AE364" s="399">
        <v>1325.7992430208033</v>
      </c>
      <c r="AF364" s="399">
        <v>576.58123453050291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0</v>
      </c>
      <c r="AM364" s="399"/>
      <c r="AN364" s="399">
        <v>5.6584160685810598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73.05198388486653</v>
      </c>
      <c r="BH364" s="399">
        <v>0</v>
      </c>
      <c r="BI364" s="399">
        <v>13.62</v>
      </c>
      <c r="BJ364" s="399">
        <v>65.28</v>
      </c>
      <c r="BK364" s="399">
        <v>97.94</v>
      </c>
      <c r="BL364" s="399">
        <v>3</v>
      </c>
      <c r="BM364" s="399"/>
      <c r="BN364" s="399"/>
      <c r="BO364" s="399"/>
      <c r="BP364" s="399"/>
      <c r="BQ364" s="399"/>
      <c r="BR364" s="399"/>
      <c r="BS364" s="399"/>
      <c r="BT364" s="399">
        <v>1199.1119999999996</v>
      </c>
      <c r="BU364" s="399"/>
      <c r="BV364" s="399">
        <v>649.63321841536947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645.70080000000007</v>
      </c>
      <c r="CJ364" s="399">
        <v>-201.29639999999995</v>
      </c>
      <c r="CK364" s="399"/>
      <c r="CL364" s="399"/>
      <c r="CM364" s="399"/>
      <c r="CN364" s="399"/>
      <c r="CO364" s="399">
        <v>-575.11680000000013</v>
      </c>
      <c r="CP364" s="399">
        <v>0</v>
      </c>
      <c r="CQ364" s="399">
        <v>30</v>
      </c>
      <c r="CR364" s="399">
        <v>-2.3181308793232347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-2.0899670779218695</v>
      </c>
      <c r="DA364" s="399">
        <v>0</v>
      </c>
      <c r="DB364" s="399">
        <v>0</v>
      </c>
      <c r="DC364" s="399">
        <v>0</v>
      </c>
      <c r="DD364" s="399">
        <v>0</v>
      </c>
      <c r="DE364" s="399">
        <v>0</v>
      </c>
      <c r="DF364" s="399">
        <v>0</v>
      </c>
      <c r="DG364" s="399">
        <v>0</v>
      </c>
      <c r="DH364" s="399">
        <v>0</v>
      </c>
      <c r="DI364" s="399">
        <v>0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0</v>
      </c>
      <c r="DP364" s="399">
        <v>-0.22816380140139803</v>
      </c>
      <c r="DQ364" s="399">
        <v>0</v>
      </c>
      <c r="DR364" s="399">
        <v>0</v>
      </c>
      <c r="DS364" s="399"/>
      <c r="DT364" s="399"/>
      <c r="DU364" s="399"/>
      <c r="DV364" s="399">
        <v>1325.7992430208033</v>
      </c>
      <c r="DW364" s="399">
        <v>0</v>
      </c>
      <c r="DX364" s="399">
        <v>0</v>
      </c>
      <c r="DY364" s="399">
        <v>-575.11680000000024</v>
      </c>
      <c r="DZ364" s="399">
        <v>0</v>
      </c>
      <c r="EA364" s="399">
        <v>0</v>
      </c>
      <c r="EB364" s="399">
        <v>0</v>
      </c>
      <c r="EC364" s="399">
        <v>-572.77097243954358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218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2361</v>
      </c>
      <c r="C365" s="399" t="s">
        <v>2328</v>
      </c>
      <c r="D365" s="399" t="s">
        <v>1823</v>
      </c>
      <c r="E365" s="399" t="s">
        <v>889</v>
      </c>
      <c r="F365" s="399" t="s">
        <v>2330</v>
      </c>
      <c r="G365" s="399" t="s">
        <v>1239</v>
      </c>
      <c r="H365" s="399" t="s">
        <v>1239</v>
      </c>
      <c r="I365" s="399" t="s">
        <v>1239</v>
      </c>
      <c r="J365" s="399" t="s">
        <v>2329</v>
      </c>
      <c r="K365" s="789">
        <v>44652</v>
      </c>
      <c r="L365" s="399">
        <v>0</v>
      </c>
      <c r="M365" s="399">
        <v>0</v>
      </c>
      <c r="N365" s="399">
        <v>0</v>
      </c>
      <c r="O365" s="399">
        <v>0</v>
      </c>
      <c r="P365" s="399">
        <v>0</v>
      </c>
      <c r="Q365" s="399">
        <v>0</v>
      </c>
      <c r="R365" s="399"/>
      <c r="S365" s="399"/>
      <c r="T365" s="399"/>
      <c r="U365" s="399"/>
      <c r="V365" s="399"/>
      <c r="W365" s="399"/>
      <c r="X365" s="399"/>
      <c r="Y365" s="399"/>
      <c r="Z365" s="399"/>
      <c r="AA365" s="399">
        <v>0</v>
      </c>
      <c r="AB365" s="399"/>
      <c r="AC365" s="399"/>
      <c r="AD365" s="399"/>
      <c r="AE365" s="399"/>
      <c r="AF365" s="399"/>
      <c r="AG365" s="399"/>
      <c r="AH365" s="399"/>
      <c r="AI365" s="399"/>
      <c r="AJ365" s="399"/>
      <c r="AK365" s="399"/>
      <c r="AL365" s="399"/>
      <c r="AM365" s="399"/>
      <c r="AN365" s="399"/>
      <c r="AO365" s="399"/>
      <c r="AP365" s="399"/>
      <c r="AQ365" s="399"/>
      <c r="AR365" s="399"/>
      <c r="AS365" s="399"/>
      <c r="AT365" s="399"/>
      <c r="AU365" s="399"/>
      <c r="AV365" s="399"/>
      <c r="AW365" s="399"/>
      <c r="AX365" s="399"/>
      <c r="AY365" s="399"/>
      <c r="AZ365" s="399">
        <v>0</v>
      </c>
      <c r="BA365" s="399"/>
      <c r="BB365" s="399"/>
      <c r="BC365" s="399"/>
      <c r="BD365" s="399"/>
      <c r="BE365" s="399"/>
      <c r="BF365" s="399"/>
      <c r="BG365" s="399"/>
      <c r="BH365" s="399"/>
      <c r="BI365" s="399">
        <v>0</v>
      </c>
      <c r="BJ365" s="399">
        <v>0</v>
      </c>
      <c r="BK365" s="399">
        <v>0.44</v>
      </c>
      <c r="BL365" s="399">
        <v>0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/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/>
      <c r="CJ365" s="399">
        <v>-0.03</v>
      </c>
      <c r="CK365" s="399"/>
      <c r="CL365" s="399"/>
      <c r="CM365" s="399"/>
      <c r="CN365" s="399"/>
      <c r="CO365" s="399">
        <v>0</v>
      </c>
      <c r="CP365" s="399">
        <v>0</v>
      </c>
      <c r="CQ365" s="399">
        <v>30</v>
      </c>
      <c r="CR365" s="399"/>
      <c r="CS365" s="399"/>
      <c r="CT365" s="399"/>
      <c r="CU365" s="399"/>
      <c r="CV365" s="399"/>
      <c r="CW365" s="399"/>
      <c r="CX365" s="399"/>
      <c r="CY365" s="399"/>
      <c r="CZ365" s="399"/>
      <c r="DA365" s="399"/>
      <c r="DB365" s="399"/>
      <c r="DC365" s="399"/>
      <c r="DD365" s="399"/>
      <c r="DE365" s="399"/>
      <c r="DF365" s="399"/>
      <c r="DG365" s="399"/>
      <c r="DH365" s="399"/>
      <c r="DI365" s="399"/>
      <c r="DJ365" s="399"/>
      <c r="DK365" s="399">
        <v>0</v>
      </c>
      <c r="DL365" s="399"/>
      <c r="DM365" s="399"/>
      <c r="DN365" s="399"/>
      <c r="DO365" s="399"/>
      <c r="DP365" s="399"/>
      <c r="DQ365" s="399"/>
      <c r="DR365" s="399"/>
      <c r="DS365" s="399"/>
      <c r="DT365" s="399"/>
      <c r="DU365" s="399"/>
      <c r="DV365" s="399"/>
      <c r="DW365" s="399"/>
      <c r="DX365" s="399"/>
      <c r="DY365" s="399"/>
      <c r="DZ365" s="399"/>
      <c r="EA365" s="399"/>
      <c r="EB365" s="399"/>
      <c r="EC365" s="399"/>
      <c r="ED365" s="399"/>
      <c r="EE365" s="399"/>
      <c r="EF365" s="399"/>
      <c r="EG365" s="399"/>
      <c r="EH365" s="399"/>
      <c r="EI365" s="399"/>
      <c r="EJ365" s="399"/>
      <c r="EK365" s="399"/>
      <c r="EL365" s="399"/>
      <c r="EM365" s="399"/>
      <c r="EN365" s="399"/>
      <c r="EO365" s="399"/>
      <c r="EP365" s="399"/>
      <c r="EQ365" s="399"/>
      <c r="ER365" s="399"/>
      <c r="ES365" s="399"/>
      <c r="ET365" s="399"/>
      <c r="EU365" s="399"/>
      <c r="EV365" s="399">
        <v>218</v>
      </c>
      <c r="EW365" s="399"/>
      <c r="EX365" s="399"/>
      <c r="EY365" s="399"/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956</v>
      </c>
      <c r="C366" s="399" t="s">
        <v>2328</v>
      </c>
      <c r="D366" s="399" t="s">
        <v>1823</v>
      </c>
      <c r="E366" s="399" t="s">
        <v>889</v>
      </c>
      <c r="F366" s="399" t="s">
        <v>2331</v>
      </c>
      <c r="G366" s="399" t="s">
        <v>1239</v>
      </c>
      <c r="H366" s="399" t="s">
        <v>1239</v>
      </c>
      <c r="I366" s="399" t="s">
        <v>1239</v>
      </c>
      <c r="J366" s="399" t="s">
        <v>2329</v>
      </c>
      <c r="K366" s="789">
        <v>44652</v>
      </c>
      <c r="L366" s="399">
        <v>0</v>
      </c>
      <c r="M366" s="399">
        <v>0</v>
      </c>
      <c r="N366" s="399">
        <v>8.1080000000000005</v>
      </c>
      <c r="O366" s="399">
        <v>8.1080000000000005</v>
      </c>
      <c r="P366" s="399">
        <v>8.1080000000000005</v>
      </c>
      <c r="Q366" s="399">
        <v>8.1080000000000005</v>
      </c>
      <c r="R366" s="399"/>
      <c r="S366" s="399">
        <v>451.8</v>
      </c>
      <c r="T366" s="399">
        <v>141.32</v>
      </c>
      <c r="U366" s="399"/>
      <c r="V366" s="399">
        <v>4809.0169600000008</v>
      </c>
      <c r="W366" s="399">
        <v>4809.0169600000008</v>
      </c>
      <c r="X366" s="399">
        <v>3666.11328</v>
      </c>
      <c r="Y366" s="399">
        <v>0</v>
      </c>
      <c r="Z366" s="399">
        <v>0</v>
      </c>
      <c r="AA366" s="399">
        <v>0</v>
      </c>
      <c r="AB366" s="399">
        <v>0</v>
      </c>
      <c r="AC366" s="399">
        <v>0</v>
      </c>
      <c r="AD366" s="399">
        <v>872.04622842614344</v>
      </c>
      <c r="AE366" s="399">
        <v>2634.7010447089888</v>
      </c>
      <c r="AF366" s="399">
        <v>1145.8138846993427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0</v>
      </c>
      <c r="AM366" s="399"/>
      <c r="AN366" s="399">
        <v>11.244715069621382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145.17291307316125</v>
      </c>
      <c r="BH366" s="399">
        <v>0</v>
      </c>
      <c r="BI366" s="399">
        <v>28.17</v>
      </c>
      <c r="BJ366" s="399">
        <v>131.69999999999999</v>
      </c>
      <c r="BK366" s="399">
        <v>321.91000000000003</v>
      </c>
      <c r="BL366" s="399">
        <v>34</v>
      </c>
      <c r="BM366" s="399"/>
      <c r="BN366" s="399"/>
      <c r="BO366" s="399"/>
      <c r="BP366" s="399"/>
      <c r="BQ366" s="399"/>
      <c r="BR366" s="399"/>
      <c r="BS366" s="399"/>
      <c r="BT366" s="399">
        <v>1466.4128799999999</v>
      </c>
      <c r="BU366" s="399"/>
      <c r="BV366" s="399">
        <v>1290.9867977725039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2200.2429999999995</v>
      </c>
      <c r="CJ366" s="399">
        <v>-685.18096000000105</v>
      </c>
      <c r="CK366" s="399"/>
      <c r="CL366" s="399"/>
      <c r="CM366" s="399"/>
      <c r="CN366" s="399"/>
      <c r="CO366" s="399">
        <v>-1142.9036800000003</v>
      </c>
      <c r="CP366" s="399">
        <v>0</v>
      </c>
      <c r="CQ366" s="399">
        <v>30</v>
      </c>
      <c r="CR366" s="399">
        <v>-4.6067169533212109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-4.1532973205369217</v>
      </c>
      <c r="DA366" s="399">
        <v>0</v>
      </c>
      <c r="DB366" s="399">
        <v>0</v>
      </c>
      <c r="DC366" s="399">
        <v>0</v>
      </c>
      <c r="DD366" s="399">
        <v>0</v>
      </c>
      <c r="DE366" s="399">
        <v>0</v>
      </c>
      <c r="DF366" s="399">
        <v>0</v>
      </c>
      <c r="DG366" s="399">
        <v>0</v>
      </c>
      <c r="DH366" s="399">
        <v>0</v>
      </c>
      <c r="DI366" s="399">
        <v>0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0</v>
      </c>
      <c r="DP366" s="399">
        <v>-0.4534196327849358</v>
      </c>
      <c r="DQ366" s="399">
        <v>0</v>
      </c>
      <c r="DR366" s="399">
        <v>0</v>
      </c>
      <c r="DS366" s="399"/>
      <c r="DT366" s="399"/>
      <c r="DU366" s="399"/>
      <c r="DV366" s="399">
        <v>2634.7010447089888</v>
      </c>
      <c r="DW366" s="399">
        <v>0</v>
      </c>
      <c r="DX366" s="399">
        <v>0</v>
      </c>
      <c r="DY366" s="399">
        <v>-1142.9036800000003</v>
      </c>
      <c r="DZ366" s="399">
        <v>0</v>
      </c>
      <c r="EA366" s="399">
        <v>0</v>
      </c>
      <c r="EB366" s="399">
        <v>0</v>
      </c>
      <c r="EC366" s="399">
        <v>-1138.2419226813286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218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2361</v>
      </c>
      <c r="C367" s="399" t="s">
        <v>2328</v>
      </c>
      <c r="D367" s="399" t="s">
        <v>1823</v>
      </c>
      <c r="E367" s="399" t="s">
        <v>889</v>
      </c>
      <c r="F367" s="399" t="s">
        <v>2331</v>
      </c>
      <c r="G367" s="399" t="s">
        <v>1239</v>
      </c>
      <c r="H367" s="399" t="s">
        <v>1239</v>
      </c>
      <c r="I367" s="399" t="s">
        <v>1239</v>
      </c>
      <c r="J367" s="399" t="s">
        <v>2329</v>
      </c>
      <c r="K367" s="789">
        <v>44652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1.78</v>
      </c>
      <c r="BL367" s="399">
        <v>0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30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218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956</v>
      </c>
      <c r="C368" s="399" t="s">
        <v>2328</v>
      </c>
      <c r="D368" s="399" t="s">
        <v>1823</v>
      </c>
      <c r="E368" s="399" t="s">
        <v>889</v>
      </c>
      <c r="F368" s="399" t="s">
        <v>2332</v>
      </c>
      <c r="G368" s="399" t="s">
        <v>1239</v>
      </c>
      <c r="H368" s="399" t="s">
        <v>1239</v>
      </c>
      <c r="I368" s="399" t="s">
        <v>1239</v>
      </c>
      <c r="J368" s="399" t="s">
        <v>2329</v>
      </c>
      <c r="K368" s="789">
        <v>44652</v>
      </c>
      <c r="L368" s="399">
        <v>0</v>
      </c>
      <c r="M368" s="399">
        <v>0</v>
      </c>
      <c r="N368" s="399">
        <v>7.976</v>
      </c>
      <c r="O368" s="399">
        <v>7.976</v>
      </c>
      <c r="P368" s="399">
        <v>7.976</v>
      </c>
      <c r="Q368" s="399">
        <v>7.976</v>
      </c>
      <c r="R368" s="399"/>
      <c r="S368" s="399">
        <v>451.8</v>
      </c>
      <c r="T368" s="399">
        <v>141.32</v>
      </c>
      <c r="U368" s="399"/>
      <c r="V368" s="399">
        <v>4730.7251200000001</v>
      </c>
      <c r="W368" s="399">
        <v>4730.7251200000001</v>
      </c>
      <c r="X368" s="399">
        <v>3606.4281599999995</v>
      </c>
      <c r="Y368" s="399">
        <v>0</v>
      </c>
      <c r="Z368" s="399">
        <v>0</v>
      </c>
      <c r="AA368" s="399">
        <v>0</v>
      </c>
      <c r="AB368" s="399">
        <v>0</v>
      </c>
      <c r="AC368" s="399">
        <v>0</v>
      </c>
      <c r="AD368" s="399">
        <v>857.84912653267384</v>
      </c>
      <c r="AE368" s="399">
        <v>2591.8075397877269</v>
      </c>
      <c r="AF368" s="399">
        <v>1127.1597859351205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0</v>
      </c>
      <c r="AM368" s="399"/>
      <c r="AN368" s="399">
        <v>11.061648667402581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142.80946653570967</v>
      </c>
      <c r="BH368" s="399">
        <v>0</v>
      </c>
      <c r="BI368" s="399">
        <v>27.65</v>
      </c>
      <c r="BJ368" s="399">
        <v>128.53</v>
      </c>
      <c r="BK368" s="399">
        <v>775.01</v>
      </c>
      <c r="BL368" s="399">
        <v>61</v>
      </c>
      <c r="BM368" s="399"/>
      <c r="BN368" s="399"/>
      <c r="BO368" s="399"/>
      <c r="BP368" s="399"/>
      <c r="BQ368" s="399"/>
      <c r="BR368" s="399"/>
      <c r="BS368" s="399"/>
      <c r="BT368" s="399">
        <v>360.59495999999984</v>
      </c>
      <c r="BU368" s="399"/>
      <c r="BV368" s="399">
        <v>1269.96925247083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3247.4610000000002</v>
      </c>
      <c r="CJ368" s="399">
        <v>-1010.2375600000005</v>
      </c>
      <c r="CK368" s="399"/>
      <c r="CL368" s="399"/>
      <c r="CM368" s="399"/>
      <c r="CN368" s="399"/>
      <c r="CO368" s="399">
        <v>-1124.2969600000004</v>
      </c>
      <c r="CP368" s="399">
        <v>0</v>
      </c>
      <c r="CQ368" s="399">
        <v>30</v>
      </c>
      <c r="CR368" s="399">
        <v>-4.5317186013435276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-4.0856807386040828</v>
      </c>
      <c r="DA368" s="399">
        <v>0</v>
      </c>
      <c r="DB368" s="399">
        <v>0</v>
      </c>
      <c r="DC368" s="399">
        <v>0</v>
      </c>
      <c r="DD368" s="399">
        <v>0</v>
      </c>
      <c r="DE368" s="399">
        <v>0</v>
      </c>
      <c r="DF368" s="399">
        <v>0</v>
      </c>
      <c r="DG368" s="399">
        <v>0</v>
      </c>
      <c r="DH368" s="399">
        <v>0</v>
      </c>
      <c r="DI368" s="399">
        <v>0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0</v>
      </c>
      <c r="DP368" s="399">
        <v>-0.44603786273959578</v>
      </c>
      <c r="DQ368" s="399">
        <v>0</v>
      </c>
      <c r="DR368" s="399">
        <v>0</v>
      </c>
      <c r="DS368" s="399"/>
      <c r="DT368" s="399"/>
      <c r="DU368" s="399"/>
      <c r="DV368" s="399">
        <v>2591.8075397877269</v>
      </c>
      <c r="DW368" s="399">
        <v>0</v>
      </c>
      <c r="DX368" s="399">
        <v>0</v>
      </c>
      <c r="DY368" s="399">
        <v>-1124.2969600000006</v>
      </c>
      <c r="DZ368" s="399">
        <v>0</v>
      </c>
      <c r="EA368" s="399">
        <v>0</v>
      </c>
      <c r="EB368" s="399">
        <v>0</v>
      </c>
      <c r="EC368" s="399">
        <v>-1119.7110971024015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218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2361</v>
      </c>
      <c r="C369" s="399" t="s">
        <v>2328</v>
      </c>
      <c r="D369" s="399" t="s">
        <v>1823</v>
      </c>
      <c r="E369" s="399" t="s">
        <v>889</v>
      </c>
      <c r="F369" s="399" t="s">
        <v>2332</v>
      </c>
      <c r="G369" s="399" t="s">
        <v>1239</v>
      </c>
      <c r="H369" s="399" t="s">
        <v>1239</v>
      </c>
      <c r="I369" s="399" t="s">
        <v>1239</v>
      </c>
      <c r="J369" s="399" t="s">
        <v>2329</v>
      </c>
      <c r="K369" s="789">
        <v>44652</v>
      </c>
      <c r="L369" s="399">
        <v>0</v>
      </c>
      <c r="M369" s="399">
        <v>0</v>
      </c>
      <c r="N369" s="399">
        <v>0</v>
      </c>
      <c r="O369" s="399">
        <v>0</v>
      </c>
      <c r="P369" s="399">
        <v>0</v>
      </c>
      <c r="Q369" s="399">
        <v>0</v>
      </c>
      <c r="R369" s="399"/>
      <c r="S369" s="399"/>
      <c r="T369" s="399"/>
      <c r="U369" s="399"/>
      <c r="V369" s="399"/>
      <c r="W369" s="399"/>
      <c r="X369" s="399"/>
      <c r="Y369" s="399"/>
      <c r="Z369" s="399"/>
      <c r="AA369" s="399">
        <v>0</v>
      </c>
      <c r="AB369" s="399"/>
      <c r="AC369" s="399"/>
      <c r="AD369" s="399"/>
      <c r="AE369" s="399"/>
      <c r="AF369" s="399"/>
      <c r="AG369" s="399"/>
      <c r="AH369" s="399"/>
      <c r="AI369" s="399"/>
      <c r="AJ369" s="399"/>
      <c r="AK369" s="399"/>
      <c r="AL369" s="399"/>
      <c r="AM369" s="399"/>
      <c r="AN369" s="399"/>
      <c r="AO369" s="399"/>
      <c r="AP369" s="399"/>
      <c r="AQ369" s="399"/>
      <c r="AR369" s="399"/>
      <c r="AS369" s="399"/>
      <c r="AT369" s="399"/>
      <c r="AU369" s="399"/>
      <c r="AV369" s="399"/>
      <c r="AW369" s="399"/>
      <c r="AX369" s="399"/>
      <c r="AY369" s="399"/>
      <c r="AZ369" s="399">
        <v>0</v>
      </c>
      <c r="BA369" s="399"/>
      <c r="BB369" s="399"/>
      <c r="BC369" s="399"/>
      <c r="BD369" s="399"/>
      <c r="BE369" s="399"/>
      <c r="BF369" s="399"/>
      <c r="BG369" s="399"/>
      <c r="BH369" s="399"/>
      <c r="BI369" s="399">
        <v>0</v>
      </c>
      <c r="BJ369" s="399">
        <v>0</v>
      </c>
      <c r="BK369" s="399">
        <v>0.91</v>
      </c>
      <c r="BL369" s="399">
        <v>1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/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/>
      <c r="CJ369" s="399">
        <v>-0.03</v>
      </c>
      <c r="CK369" s="399"/>
      <c r="CL369" s="399"/>
      <c r="CM369" s="399"/>
      <c r="CN369" s="399"/>
      <c r="CO369" s="399">
        <v>0</v>
      </c>
      <c r="CP369" s="399">
        <v>0</v>
      </c>
      <c r="CQ369" s="399">
        <v>30</v>
      </c>
      <c r="CR369" s="399"/>
      <c r="CS369" s="399"/>
      <c r="CT369" s="399"/>
      <c r="CU369" s="399"/>
      <c r="CV369" s="399"/>
      <c r="CW369" s="399"/>
      <c r="CX369" s="399"/>
      <c r="CY369" s="399"/>
      <c r="CZ369" s="399"/>
      <c r="DA369" s="399"/>
      <c r="DB369" s="399"/>
      <c r="DC369" s="399"/>
      <c r="DD369" s="399"/>
      <c r="DE369" s="399"/>
      <c r="DF369" s="399"/>
      <c r="DG369" s="399"/>
      <c r="DH369" s="399"/>
      <c r="DI369" s="399"/>
      <c r="DJ369" s="399"/>
      <c r="DK369" s="399">
        <v>0</v>
      </c>
      <c r="DL369" s="399"/>
      <c r="DM369" s="399"/>
      <c r="DN369" s="399"/>
      <c r="DO369" s="399"/>
      <c r="DP369" s="399"/>
      <c r="DQ369" s="399"/>
      <c r="DR369" s="399"/>
      <c r="DS369" s="399"/>
      <c r="DT369" s="399"/>
      <c r="DU369" s="399"/>
      <c r="DV369" s="399"/>
      <c r="DW369" s="399"/>
      <c r="DX369" s="399"/>
      <c r="DY369" s="399"/>
      <c r="DZ369" s="399"/>
      <c r="EA369" s="399"/>
      <c r="EB369" s="399"/>
      <c r="EC369" s="399"/>
      <c r="ED369" s="399"/>
      <c r="EE369" s="399"/>
      <c r="EF369" s="399"/>
      <c r="EG369" s="399"/>
      <c r="EH369" s="399"/>
      <c r="EI369" s="399"/>
      <c r="EJ369" s="399"/>
      <c r="EK369" s="399"/>
      <c r="EL369" s="399"/>
      <c r="EM369" s="399"/>
      <c r="EN369" s="399"/>
      <c r="EO369" s="399"/>
      <c r="EP369" s="399"/>
      <c r="EQ369" s="399"/>
      <c r="ER369" s="399"/>
      <c r="ES369" s="399"/>
      <c r="ET369" s="399"/>
      <c r="EU369" s="399"/>
      <c r="EV369" s="399">
        <v>218</v>
      </c>
      <c r="EW369" s="399"/>
      <c r="EX369" s="399"/>
      <c r="EY369" s="399"/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956</v>
      </c>
      <c r="C370" s="399" t="s">
        <v>2328</v>
      </c>
      <c r="D370" s="399" t="s">
        <v>1823</v>
      </c>
      <c r="E370" s="399" t="s">
        <v>889</v>
      </c>
      <c r="F370" s="399" t="s">
        <v>2333</v>
      </c>
      <c r="G370" s="399" t="s">
        <v>1239</v>
      </c>
      <c r="H370" s="399" t="s">
        <v>1239</v>
      </c>
      <c r="I370" s="399" t="s">
        <v>1239</v>
      </c>
      <c r="J370" s="399" t="s">
        <v>2329</v>
      </c>
      <c r="K370" s="789">
        <v>44652</v>
      </c>
      <c r="L370" s="399">
        <v>0</v>
      </c>
      <c r="M370" s="399">
        <v>0</v>
      </c>
      <c r="N370" s="399">
        <v>3.052</v>
      </c>
      <c r="O370" s="399">
        <v>3.052</v>
      </c>
      <c r="P370" s="399">
        <v>3.052</v>
      </c>
      <c r="Q370" s="399">
        <v>3.052</v>
      </c>
      <c r="R370" s="399"/>
      <c r="S370" s="399">
        <v>451.8</v>
      </c>
      <c r="T370" s="399">
        <v>141.32</v>
      </c>
      <c r="U370" s="399"/>
      <c r="V370" s="399">
        <v>1810.2022400000001</v>
      </c>
      <c r="W370" s="399">
        <v>1810.2022400000001</v>
      </c>
      <c r="X370" s="399">
        <v>1379.9923199999998</v>
      </c>
      <c r="Y370" s="399">
        <v>0</v>
      </c>
      <c r="Z370" s="399">
        <v>0</v>
      </c>
      <c r="AA370" s="399">
        <v>0</v>
      </c>
      <c r="AB370" s="399">
        <v>0</v>
      </c>
      <c r="AC370" s="399">
        <v>0</v>
      </c>
      <c r="AD370" s="399">
        <v>328.25420438537122</v>
      </c>
      <c r="AE370" s="399">
        <v>991.74982590673812</v>
      </c>
      <c r="AF370" s="399">
        <v>431.30537445762133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0</v>
      </c>
      <c r="AM370" s="399"/>
      <c r="AN370" s="399">
        <v>4.2327171179679892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54.64574872956193</v>
      </c>
      <c r="BH370" s="399">
        <v>0</v>
      </c>
      <c r="BI370" s="399">
        <v>11.01</v>
      </c>
      <c r="BJ370" s="399">
        <v>49.02</v>
      </c>
      <c r="BK370" s="399">
        <v>479.83</v>
      </c>
      <c r="BL370" s="399">
        <v>36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485.95112318718327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1379.0879999999997</v>
      </c>
      <c r="CJ370" s="399">
        <v>-431.14424000000031</v>
      </c>
      <c r="CK370" s="399"/>
      <c r="CL370" s="399"/>
      <c r="CM370" s="399"/>
      <c r="CN370" s="399"/>
      <c r="CO370" s="399">
        <v>-430.20992000000012</v>
      </c>
      <c r="CP370" s="399">
        <v>0</v>
      </c>
      <c r="CQ370" s="399">
        <v>30</v>
      </c>
      <c r="CR370" s="399">
        <v>-1.7340528048271153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-1.563377333778817</v>
      </c>
      <c r="DA370" s="399">
        <v>0</v>
      </c>
      <c r="DB370" s="399">
        <v>0</v>
      </c>
      <c r="DC370" s="399">
        <v>0</v>
      </c>
      <c r="DD370" s="399">
        <v>0</v>
      </c>
      <c r="DE370" s="399">
        <v>0</v>
      </c>
      <c r="DF370" s="399">
        <v>0</v>
      </c>
      <c r="DG370" s="399">
        <v>0</v>
      </c>
      <c r="DH370" s="399">
        <v>0</v>
      </c>
      <c r="DI370" s="399">
        <v>0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0</v>
      </c>
      <c r="DP370" s="399">
        <v>-0.17067547104830094</v>
      </c>
      <c r="DQ370" s="399">
        <v>0</v>
      </c>
      <c r="DR370" s="399">
        <v>0</v>
      </c>
      <c r="DS370" s="399"/>
      <c r="DT370" s="399"/>
      <c r="DU370" s="399"/>
      <c r="DV370" s="399">
        <v>991.74982590673812</v>
      </c>
      <c r="DW370" s="399">
        <v>0</v>
      </c>
      <c r="DX370" s="399">
        <v>0</v>
      </c>
      <c r="DY370" s="399">
        <v>-430.20992000000012</v>
      </c>
      <c r="DZ370" s="399">
        <v>0</v>
      </c>
      <c r="EA370" s="399">
        <v>0</v>
      </c>
      <c r="EB370" s="399">
        <v>0</v>
      </c>
      <c r="EC370" s="399">
        <v>-428.45514899154091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218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956</v>
      </c>
      <c r="C371" s="399" t="s">
        <v>2328</v>
      </c>
      <c r="D371" s="399" t="s">
        <v>1826</v>
      </c>
      <c r="E371" s="399" t="s">
        <v>890</v>
      </c>
      <c r="F371" s="399" t="s">
        <v>1239</v>
      </c>
      <c r="G371" s="399" t="s">
        <v>1239</v>
      </c>
      <c r="H371" s="399" t="s">
        <v>1239</v>
      </c>
      <c r="I371" s="399" t="s">
        <v>1239</v>
      </c>
      <c r="J371" s="399" t="s">
        <v>2329</v>
      </c>
      <c r="K371" s="789">
        <v>44652</v>
      </c>
      <c r="L371" s="399">
        <v>0</v>
      </c>
      <c r="M371" s="399">
        <v>0</v>
      </c>
      <c r="N371" s="399">
        <v>148.232</v>
      </c>
      <c r="O371" s="399">
        <v>148.232</v>
      </c>
      <c r="P371" s="399">
        <v>148.232</v>
      </c>
      <c r="Q371" s="399">
        <v>148.232</v>
      </c>
      <c r="R371" s="399"/>
      <c r="S371" s="399">
        <v>521.86</v>
      </c>
      <c r="T371" s="399">
        <v>141.32</v>
      </c>
      <c r="U371" s="399"/>
      <c r="V371" s="399">
        <v>98304.497759999998</v>
      </c>
      <c r="W371" s="399">
        <v>98304.497759999998</v>
      </c>
      <c r="X371" s="399">
        <v>76833.09255999999</v>
      </c>
      <c r="Y371" s="399">
        <v>0</v>
      </c>
      <c r="Z371" s="399">
        <v>8994.2793629000353</v>
      </c>
      <c r="AA371" s="399">
        <v>0</v>
      </c>
      <c r="AB371" s="399">
        <v>0</v>
      </c>
      <c r="AC371" s="399">
        <v>0</v>
      </c>
      <c r="AD371" s="399">
        <v>15942.915211157386</v>
      </c>
      <c r="AE371" s="399">
        <v>48168.106223396986</v>
      </c>
      <c r="AF371" s="399">
        <v>20947.987636501352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1390.7114898728591</v>
      </c>
      <c r="AM371" s="399"/>
      <c r="AN371" s="399">
        <v>205.57802222497736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2654.078841966063</v>
      </c>
      <c r="BH371" s="399">
        <v>0</v>
      </c>
      <c r="BI371" s="399">
        <v>630.26</v>
      </c>
      <c r="BJ371" s="399">
        <v>2912.25</v>
      </c>
      <c r="BK371" s="399">
        <v>32284.59</v>
      </c>
      <c r="BL371" s="399">
        <v>141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23602.066478467415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76832.055899999992</v>
      </c>
      <c r="CJ371" s="399">
        <v>-21472.471859999991</v>
      </c>
      <c r="CK371" s="399"/>
      <c r="CL371" s="399"/>
      <c r="CM371" s="399"/>
      <c r="CN371" s="399"/>
      <c r="CO371" s="399">
        <v>-21471.405200000005</v>
      </c>
      <c r="CP371" s="399">
        <v>0</v>
      </c>
      <c r="CQ371" s="399">
        <v>30</v>
      </c>
      <c r="CR371" s="399">
        <v>-660.48286023799301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-75.931372523165919</v>
      </c>
      <c r="DA371" s="399">
        <v>0</v>
      </c>
      <c r="DB371" s="399">
        <v>0</v>
      </c>
      <c r="DC371" s="399">
        <v>0</v>
      </c>
      <c r="DD371" s="399">
        <v>0</v>
      </c>
      <c r="DE371" s="399">
        <v>0</v>
      </c>
      <c r="DF371" s="399">
        <v>0</v>
      </c>
      <c r="DG371" s="399">
        <v>0</v>
      </c>
      <c r="DH371" s="399">
        <v>0</v>
      </c>
      <c r="DI371" s="399">
        <v>-506.77063040309986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-69.491353240811804</v>
      </c>
      <c r="DP371" s="399">
        <v>-8.2895040709147167</v>
      </c>
      <c r="DQ371" s="399">
        <v>0</v>
      </c>
      <c r="DR371" s="399">
        <v>0</v>
      </c>
      <c r="DS371" s="399"/>
      <c r="DT371" s="399"/>
      <c r="DU371" s="399"/>
      <c r="DV371" s="399">
        <v>48168.106223396986</v>
      </c>
      <c r="DW371" s="399">
        <v>0</v>
      </c>
      <c r="DX371" s="399">
        <v>0</v>
      </c>
      <c r="DY371" s="399">
        <v>-21471.405200000001</v>
      </c>
      <c r="DZ371" s="399">
        <v>0</v>
      </c>
      <c r="EA371" s="399">
        <v>0</v>
      </c>
      <c r="EB371" s="399">
        <v>0</v>
      </c>
      <c r="EC371" s="399">
        <v>-20809.555584965299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218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2361</v>
      </c>
      <c r="C372" s="399" t="s">
        <v>2328</v>
      </c>
      <c r="D372" s="399" t="s">
        <v>1826</v>
      </c>
      <c r="E372" s="399" t="s">
        <v>890</v>
      </c>
      <c r="F372" s="399" t="s">
        <v>1239</v>
      </c>
      <c r="G372" s="399" t="s">
        <v>1239</v>
      </c>
      <c r="H372" s="399" t="s">
        <v>1239</v>
      </c>
      <c r="I372" s="399" t="s">
        <v>1239</v>
      </c>
      <c r="J372" s="399" t="s">
        <v>2329</v>
      </c>
      <c r="K372" s="789">
        <v>44652</v>
      </c>
      <c r="L372" s="399">
        <v>0</v>
      </c>
      <c r="M372" s="399">
        <v>0</v>
      </c>
      <c r="N372" s="399">
        <v>5.3739999999999997</v>
      </c>
      <c r="O372" s="399">
        <v>5.3739999999999997</v>
      </c>
      <c r="P372" s="399">
        <v>5.3739999999999997</v>
      </c>
      <c r="Q372" s="399">
        <v>5.3739999999999997</v>
      </c>
      <c r="R372" s="399"/>
      <c r="S372" s="399">
        <v>521.86</v>
      </c>
      <c r="T372" s="399">
        <v>141.32</v>
      </c>
      <c r="U372" s="399"/>
      <c r="V372" s="399">
        <v>3563.9293200000002</v>
      </c>
      <c r="W372" s="399">
        <v>3563.9293200000002</v>
      </c>
      <c r="X372" s="399">
        <v>2785.50542</v>
      </c>
      <c r="Y372" s="399">
        <v>0</v>
      </c>
      <c r="Z372" s="399">
        <v>326.0784263601974</v>
      </c>
      <c r="AA372" s="399">
        <v>0</v>
      </c>
      <c r="AB372" s="399">
        <v>0</v>
      </c>
      <c r="AC372" s="399">
        <v>0</v>
      </c>
      <c r="AD372" s="399">
        <v>577.99413314776689</v>
      </c>
      <c r="AE372" s="399">
        <v>1746.2855715671069</v>
      </c>
      <c r="AF372" s="399">
        <v>759.44792999189281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50.418826883377037</v>
      </c>
      <c r="AM372" s="399"/>
      <c r="AN372" s="399">
        <v>7.4530215569986797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96.220921911096255</v>
      </c>
      <c r="BH372" s="399">
        <v>0</v>
      </c>
      <c r="BI372" s="399">
        <v>23.86</v>
      </c>
      <c r="BJ372" s="399">
        <v>110.34</v>
      </c>
      <c r="BK372" s="399">
        <v>3899.57</v>
      </c>
      <c r="BL372" s="399">
        <v>10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855.6688519029891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2783.4321</v>
      </c>
      <c r="CJ372" s="399">
        <v>-780.52722000000085</v>
      </c>
      <c r="CK372" s="399"/>
      <c r="CL372" s="399"/>
      <c r="CM372" s="399"/>
      <c r="CN372" s="399"/>
      <c r="CO372" s="399">
        <v>-778.42390000000012</v>
      </c>
      <c r="CP372" s="399">
        <v>0</v>
      </c>
      <c r="CQ372" s="399">
        <v>30</v>
      </c>
      <c r="CR372" s="399">
        <v>-23.945132568669123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-2.7528144795960543</v>
      </c>
      <c r="DA372" s="399">
        <v>0</v>
      </c>
      <c r="DB372" s="399">
        <v>0</v>
      </c>
      <c r="DC372" s="399">
        <v>0</v>
      </c>
      <c r="DD372" s="399">
        <v>0</v>
      </c>
      <c r="DE372" s="399">
        <v>0</v>
      </c>
      <c r="DF372" s="399">
        <v>0</v>
      </c>
      <c r="DG372" s="399">
        <v>0</v>
      </c>
      <c r="DH372" s="399">
        <v>0</v>
      </c>
      <c r="DI372" s="399">
        <v>-18.372452424484948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-2.5193381477422108</v>
      </c>
      <c r="DP372" s="399">
        <v>-0.30052751684586188</v>
      </c>
      <c r="DQ372" s="399">
        <v>0</v>
      </c>
      <c r="DR372" s="399">
        <v>0</v>
      </c>
      <c r="DS372" s="399"/>
      <c r="DT372" s="399"/>
      <c r="DU372" s="399"/>
      <c r="DV372" s="399">
        <v>1746.2855715671069</v>
      </c>
      <c r="DW372" s="399">
        <v>0</v>
      </c>
      <c r="DX372" s="399">
        <v>0</v>
      </c>
      <c r="DY372" s="399">
        <v>-778.42390000000023</v>
      </c>
      <c r="DZ372" s="399">
        <v>0</v>
      </c>
      <c r="EA372" s="399">
        <v>0</v>
      </c>
      <c r="EB372" s="399">
        <v>0</v>
      </c>
      <c r="EC372" s="399">
        <v>-754.42921712992813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218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956</v>
      </c>
      <c r="C373" s="399" t="s">
        <v>2334</v>
      </c>
      <c r="D373" s="399" t="s">
        <v>533</v>
      </c>
      <c r="E373" s="399" t="s">
        <v>890</v>
      </c>
      <c r="F373" s="399" t="s">
        <v>1239</v>
      </c>
      <c r="G373" s="399" t="s">
        <v>1239</v>
      </c>
      <c r="H373" s="399" t="s">
        <v>1239</v>
      </c>
      <c r="I373" s="399" t="s">
        <v>893</v>
      </c>
      <c r="J373" s="399" t="s">
        <v>2329</v>
      </c>
      <c r="K373" s="789">
        <v>44652</v>
      </c>
      <c r="L373" s="399">
        <v>0</v>
      </c>
      <c r="M373" s="399">
        <v>0</v>
      </c>
      <c r="N373" s="399">
        <v>55.094000000000001</v>
      </c>
      <c r="O373" s="399">
        <v>55.094000000000001</v>
      </c>
      <c r="P373" s="399">
        <v>55.094000000000001</v>
      </c>
      <c r="Q373" s="399">
        <v>55.094000000000001</v>
      </c>
      <c r="R373" s="399"/>
      <c r="S373" s="399">
        <v>2741.05</v>
      </c>
      <c r="T373" s="399">
        <v>141.32</v>
      </c>
      <c r="U373" s="399"/>
      <c r="V373" s="399">
        <v>158801.29277999999</v>
      </c>
      <c r="W373" s="399">
        <v>158801.29277999999</v>
      </c>
      <c r="X373" s="399">
        <v>113707.40472000001</v>
      </c>
      <c r="Y373" s="399">
        <v>0</v>
      </c>
      <c r="Z373" s="399">
        <v>2908.3586518502393</v>
      </c>
      <c r="AA373" s="399">
        <v>0</v>
      </c>
      <c r="AB373" s="399">
        <v>0</v>
      </c>
      <c r="AC373" s="399">
        <v>0</v>
      </c>
      <c r="AD373" s="399">
        <v>43720.476131078802</v>
      </c>
      <c r="AE373" s="399">
        <v>103455.99452774978</v>
      </c>
      <c r="AF373" s="399">
        <v>7785.8251311822378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516.89148647427885</v>
      </c>
      <c r="AM373" s="399"/>
      <c r="AN373" s="399">
        <v>33.097302470596652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380.86253145918124</v>
      </c>
      <c r="BH373" s="399">
        <v>0</v>
      </c>
      <c r="BI373" s="399">
        <v>0</v>
      </c>
      <c r="BJ373" s="399">
        <v>0</v>
      </c>
      <c r="BK373" s="399">
        <v>0</v>
      </c>
      <c r="BL373" s="399">
        <v>0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8166.6876626414187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113699.1492</v>
      </c>
      <c r="CJ373" s="399">
        <v>-45102.173580000017</v>
      </c>
      <c r="CK373" s="399"/>
      <c r="CL373" s="399"/>
      <c r="CM373" s="399"/>
      <c r="CN373" s="399"/>
      <c r="CO373" s="399">
        <v>-45093.888060000012</v>
      </c>
      <c r="CP373" s="399">
        <v>0</v>
      </c>
      <c r="CQ373" s="399">
        <v>30</v>
      </c>
      <c r="CR373" s="399">
        <v>-399.25794236599177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-208.22764946261304</v>
      </c>
      <c r="DA373" s="399">
        <v>0</v>
      </c>
      <c r="DB373" s="399">
        <v>0</v>
      </c>
      <c r="DC373" s="399">
        <v>0</v>
      </c>
      <c r="DD373" s="399">
        <v>0</v>
      </c>
      <c r="DE373" s="399">
        <v>0</v>
      </c>
      <c r="DF373" s="399">
        <v>0</v>
      </c>
      <c r="DG373" s="399">
        <v>0</v>
      </c>
      <c r="DH373" s="399">
        <v>0</v>
      </c>
      <c r="DI373" s="399">
        <v>-163.86757492945753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-25.828138427932515</v>
      </c>
      <c r="DP373" s="399">
        <v>-1.3345795459890546</v>
      </c>
      <c r="DQ373" s="399">
        <v>0</v>
      </c>
      <c r="DR373" s="399">
        <v>0</v>
      </c>
      <c r="DS373" s="399"/>
      <c r="DT373" s="399"/>
      <c r="DU373" s="399"/>
      <c r="DV373" s="399">
        <v>103455.99452774978</v>
      </c>
      <c r="DW373" s="399">
        <v>0</v>
      </c>
      <c r="DX373" s="399">
        <v>0</v>
      </c>
      <c r="DY373" s="399">
        <v>-45093.888059999997</v>
      </c>
      <c r="DZ373" s="399">
        <v>0</v>
      </c>
      <c r="EA373" s="399">
        <v>0</v>
      </c>
      <c r="EB373" s="399">
        <v>0</v>
      </c>
      <c r="EC373" s="399">
        <v>-44694.995039629677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218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2361</v>
      </c>
      <c r="C374" s="399" t="s">
        <v>2334</v>
      </c>
      <c r="D374" s="399" t="s">
        <v>533</v>
      </c>
      <c r="E374" s="399" t="s">
        <v>890</v>
      </c>
      <c r="F374" s="399" t="s">
        <v>1239</v>
      </c>
      <c r="G374" s="399" t="s">
        <v>1239</v>
      </c>
      <c r="H374" s="399" t="s">
        <v>1239</v>
      </c>
      <c r="I374" s="399" t="s">
        <v>893</v>
      </c>
      <c r="J374" s="399" t="s">
        <v>2329</v>
      </c>
      <c r="K374" s="789">
        <v>44652</v>
      </c>
      <c r="L374" s="399">
        <v>0</v>
      </c>
      <c r="M374" s="399">
        <v>0</v>
      </c>
      <c r="N374" s="399">
        <v>0.50800000000000001</v>
      </c>
      <c r="O374" s="399">
        <v>0.50800000000000001</v>
      </c>
      <c r="P374" s="399">
        <v>0.50800000000000001</v>
      </c>
      <c r="Q374" s="399">
        <v>0.50800000000000001</v>
      </c>
      <c r="R374" s="399"/>
      <c r="S374" s="399">
        <v>2741.05</v>
      </c>
      <c r="T374" s="399">
        <v>141.32</v>
      </c>
      <c r="U374" s="399"/>
      <c r="V374" s="399">
        <v>1464.24396</v>
      </c>
      <c r="W374" s="399">
        <v>1464.24396</v>
      </c>
      <c r="X374" s="399">
        <v>1048.4510399999999</v>
      </c>
      <c r="Y374" s="399">
        <v>0</v>
      </c>
      <c r="Z374" s="399">
        <v>26.816825700437828</v>
      </c>
      <c r="AA374" s="399">
        <v>0</v>
      </c>
      <c r="AB374" s="399">
        <v>0</v>
      </c>
      <c r="AC374" s="399">
        <v>0</v>
      </c>
      <c r="AD374" s="399">
        <v>403.12923139703111</v>
      </c>
      <c r="AE374" s="399">
        <v>953.92683813295253</v>
      </c>
      <c r="AF374" s="399">
        <v>71.790016456248892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4.7660521132779188</v>
      </c>
      <c r="AM374" s="399"/>
      <c r="AN374" s="399">
        <v>0.30517714551608338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3.5117828798283672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75.301799336077266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1052.5788</v>
      </c>
      <c r="CJ374" s="399">
        <v>-411.69515999999999</v>
      </c>
      <c r="CK374" s="399"/>
      <c r="CL374" s="399"/>
      <c r="CM374" s="399"/>
      <c r="CN374" s="399"/>
      <c r="CO374" s="399">
        <v>-415.79292000000015</v>
      </c>
      <c r="CP374" s="399">
        <v>0</v>
      </c>
      <c r="CQ374" s="399">
        <v>30</v>
      </c>
      <c r="CR374" s="399">
        <v>-3.6813996936494959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-1.9199848609105743</v>
      </c>
      <c r="DA374" s="399">
        <v>0</v>
      </c>
      <c r="DB374" s="399">
        <v>0</v>
      </c>
      <c r="DC374" s="399">
        <v>0</v>
      </c>
      <c r="DD374" s="399">
        <v>0</v>
      </c>
      <c r="DE374" s="399">
        <v>0</v>
      </c>
      <c r="DF374" s="399">
        <v>0</v>
      </c>
      <c r="DG374" s="399">
        <v>0</v>
      </c>
      <c r="DH374" s="399">
        <v>0</v>
      </c>
      <c r="DI374" s="399">
        <v>-1.5109581454271748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-0.23815105676461545</v>
      </c>
      <c r="DP374" s="399">
        <v>-1.2305630547109314E-2</v>
      </c>
      <c r="DQ374" s="399">
        <v>0</v>
      </c>
      <c r="DR374" s="399">
        <v>0</v>
      </c>
      <c r="DS374" s="399"/>
      <c r="DT374" s="399"/>
      <c r="DU374" s="399"/>
      <c r="DV374" s="399">
        <v>953.92683813295253</v>
      </c>
      <c r="DW374" s="399">
        <v>0</v>
      </c>
      <c r="DX374" s="399">
        <v>0</v>
      </c>
      <c r="DY374" s="399">
        <v>-415.79292000000009</v>
      </c>
      <c r="DZ374" s="399">
        <v>0</v>
      </c>
      <c r="EA374" s="399">
        <v>0</v>
      </c>
      <c r="EB374" s="399">
        <v>0</v>
      </c>
      <c r="EC374" s="399">
        <v>-412.11488510784977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218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956</v>
      </c>
      <c r="C375" s="399" t="s">
        <v>2334</v>
      </c>
      <c r="D375" s="399" t="s">
        <v>533</v>
      </c>
      <c r="E375" s="399" t="s">
        <v>890</v>
      </c>
      <c r="F375" s="399" t="s">
        <v>1239</v>
      </c>
      <c r="G375" s="399" t="s">
        <v>1239</v>
      </c>
      <c r="H375" s="399" t="s">
        <v>1239</v>
      </c>
      <c r="I375" s="399" t="s">
        <v>2326</v>
      </c>
      <c r="J375" s="399" t="s">
        <v>2329</v>
      </c>
      <c r="K375" s="789">
        <v>44652</v>
      </c>
      <c r="L375" s="399">
        <v>0</v>
      </c>
      <c r="M375" s="399">
        <v>0</v>
      </c>
      <c r="N375" s="399">
        <v>2183.6680000000001</v>
      </c>
      <c r="O375" s="399">
        <v>2183.6680000000001</v>
      </c>
      <c r="P375" s="399">
        <v>2183.6680000000001</v>
      </c>
      <c r="Q375" s="399">
        <v>2183.6680000000001</v>
      </c>
      <c r="R375" s="399"/>
      <c r="S375" s="399">
        <v>69.680000000000007</v>
      </c>
      <c r="T375" s="399">
        <v>141.32</v>
      </c>
      <c r="U375" s="399"/>
      <c r="V375" s="399">
        <v>460753.94799999997</v>
      </c>
      <c r="W375" s="399">
        <v>460753.94799999997</v>
      </c>
      <c r="X375" s="399">
        <v>453198.45672000002</v>
      </c>
      <c r="Y375" s="399">
        <v>0</v>
      </c>
      <c r="Z375" s="399">
        <v>115273.70894414108</v>
      </c>
      <c r="AA375" s="399">
        <v>0</v>
      </c>
      <c r="AB375" s="399">
        <v>0</v>
      </c>
      <c r="AC375" s="399">
        <v>0</v>
      </c>
      <c r="AD375" s="399">
        <v>0</v>
      </c>
      <c r="AE375" s="399">
        <v>0</v>
      </c>
      <c r="AF375" s="399">
        <v>308593.62530508684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20487.156468695604</v>
      </c>
      <c r="AM375" s="399"/>
      <c r="AN375" s="399">
        <v>1311.8219822732574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15095.606097694983</v>
      </c>
      <c r="BH375" s="399">
        <v>0</v>
      </c>
      <c r="BI375" s="399">
        <v>0</v>
      </c>
      <c r="BJ375" s="399">
        <v>0</v>
      </c>
      <c r="BK375" s="399">
        <v>0</v>
      </c>
      <c r="BL375" s="399">
        <v>0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323689.23140278185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453198.87179999996</v>
      </c>
      <c r="CJ375" s="399">
        <v>-7555.1062000000384</v>
      </c>
      <c r="CK375" s="399"/>
      <c r="CL375" s="399"/>
      <c r="CM375" s="399"/>
      <c r="CN375" s="399"/>
      <c r="CO375" s="399">
        <v>-7555.4912800000175</v>
      </c>
      <c r="CP375" s="399">
        <v>0</v>
      </c>
      <c r="CQ375" s="399">
        <v>30</v>
      </c>
      <c r="CR375" s="399">
        <v>-7571.5456790891476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0</v>
      </c>
      <c r="DA375" s="399">
        <v>0</v>
      </c>
      <c r="DB375" s="399">
        <v>0</v>
      </c>
      <c r="DC375" s="399">
        <v>0</v>
      </c>
      <c r="DD375" s="399">
        <v>0</v>
      </c>
      <c r="DE375" s="399">
        <v>0</v>
      </c>
      <c r="DF375" s="399">
        <v>0</v>
      </c>
      <c r="DG375" s="399">
        <v>0</v>
      </c>
      <c r="DH375" s="399">
        <v>0</v>
      </c>
      <c r="DI375" s="399">
        <v>-6494.9428179304377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-1023.706381541484</v>
      </c>
      <c r="DP375" s="399">
        <v>-52.896479617214482</v>
      </c>
      <c r="DQ375" s="399">
        <v>0</v>
      </c>
      <c r="DR375" s="399">
        <v>0</v>
      </c>
      <c r="DS375" s="399"/>
      <c r="DT375" s="399"/>
      <c r="DU375" s="399"/>
      <c r="DV375" s="399">
        <v>0</v>
      </c>
      <c r="DW375" s="399">
        <v>0</v>
      </c>
      <c r="DX375" s="399">
        <v>0</v>
      </c>
      <c r="DY375" s="399">
        <v>-7555.4912800000166</v>
      </c>
      <c r="DZ375" s="399">
        <v>0</v>
      </c>
      <c r="EA375" s="399">
        <v>0</v>
      </c>
      <c r="EB375" s="399">
        <v>0</v>
      </c>
      <c r="EC375" s="399">
        <v>0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218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2361</v>
      </c>
      <c r="C376" s="399" t="s">
        <v>2334</v>
      </c>
      <c r="D376" s="399" t="s">
        <v>533</v>
      </c>
      <c r="E376" s="399" t="s">
        <v>890</v>
      </c>
      <c r="F376" s="399" t="s">
        <v>1239</v>
      </c>
      <c r="G376" s="399" t="s">
        <v>1239</v>
      </c>
      <c r="H376" s="399" t="s">
        <v>1239</v>
      </c>
      <c r="I376" s="399" t="s">
        <v>2326</v>
      </c>
      <c r="J376" s="399" t="s">
        <v>2329</v>
      </c>
      <c r="K376" s="789">
        <v>44652</v>
      </c>
      <c r="L376" s="399">
        <v>0</v>
      </c>
      <c r="M376" s="399">
        <v>0</v>
      </c>
      <c r="N376" s="399">
        <v>9.5489999999999995</v>
      </c>
      <c r="O376" s="399">
        <v>9.5489999999999995</v>
      </c>
      <c r="P376" s="399">
        <v>9.5489999999999995</v>
      </c>
      <c r="Q376" s="399">
        <v>9.5489999999999995</v>
      </c>
      <c r="R376" s="399"/>
      <c r="S376" s="399">
        <v>69.680000000000007</v>
      </c>
      <c r="T376" s="399">
        <v>141.32</v>
      </c>
      <c r="U376" s="399"/>
      <c r="V376" s="399">
        <v>2014.8389999999999</v>
      </c>
      <c r="W376" s="399">
        <v>2014.8389999999999</v>
      </c>
      <c r="X376" s="399">
        <v>1981.7994599999997</v>
      </c>
      <c r="Y376" s="399">
        <v>0</v>
      </c>
      <c r="Z376" s="399">
        <v>504.082418530474</v>
      </c>
      <c r="AA376" s="399">
        <v>0</v>
      </c>
      <c r="AB376" s="399">
        <v>0</v>
      </c>
      <c r="AC376" s="399">
        <v>0</v>
      </c>
      <c r="AD376" s="399">
        <v>0</v>
      </c>
      <c r="AE376" s="399">
        <v>0</v>
      </c>
      <c r="AF376" s="399">
        <v>1349.4544628754343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89.588644940336309</v>
      </c>
      <c r="AM376" s="399"/>
      <c r="AN376" s="399">
        <v>5.7364892963249607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66.011839998978502</v>
      </c>
      <c r="BH376" s="399">
        <v>0</v>
      </c>
      <c r="BI376" s="399">
        <v>0</v>
      </c>
      <c r="BJ376" s="399">
        <v>0</v>
      </c>
      <c r="BK376" s="399">
        <v>0</v>
      </c>
      <c r="BL376" s="399">
        <v>0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1415.4663028744128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1982.0070000000001</v>
      </c>
      <c r="CJ376" s="399">
        <v>-32.861999999999853</v>
      </c>
      <c r="CK376" s="399"/>
      <c r="CL376" s="399"/>
      <c r="CM376" s="399"/>
      <c r="CN376" s="399"/>
      <c r="CO376" s="399">
        <v>-33.039540000000073</v>
      </c>
      <c r="CP376" s="399">
        <v>0</v>
      </c>
      <c r="CQ376" s="399">
        <v>30</v>
      </c>
      <c r="CR376" s="399">
        <v>-33.109744562645119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0</v>
      </c>
      <c r="DA376" s="399">
        <v>0</v>
      </c>
      <c r="DB376" s="399">
        <v>0</v>
      </c>
      <c r="DC376" s="399">
        <v>0</v>
      </c>
      <c r="DD376" s="399">
        <v>0</v>
      </c>
      <c r="DE376" s="399">
        <v>0</v>
      </c>
      <c r="DF376" s="399">
        <v>0</v>
      </c>
      <c r="DG376" s="399">
        <v>0</v>
      </c>
      <c r="DH376" s="399">
        <v>0</v>
      </c>
      <c r="DI376" s="399">
        <v>-28.401849076149745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-4.4765835453647895</v>
      </c>
      <c r="DP376" s="399">
        <v>-0.23131194113060349</v>
      </c>
      <c r="DQ376" s="399">
        <v>0</v>
      </c>
      <c r="DR376" s="399">
        <v>0</v>
      </c>
      <c r="DS376" s="399"/>
      <c r="DT376" s="399"/>
      <c r="DU376" s="399"/>
      <c r="DV376" s="399">
        <v>0</v>
      </c>
      <c r="DW376" s="399">
        <v>0</v>
      </c>
      <c r="DX376" s="399">
        <v>0</v>
      </c>
      <c r="DY376" s="399">
        <v>-33.039540000000102</v>
      </c>
      <c r="DZ376" s="399">
        <v>0</v>
      </c>
      <c r="EA376" s="399">
        <v>0</v>
      </c>
      <c r="EB376" s="399">
        <v>0</v>
      </c>
      <c r="EC376" s="399">
        <v>0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218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956</v>
      </c>
      <c r="C377" s="399" t="s">
        <v>2334</v>
      </c>
      <c r="D377" s="399" t="s">
        <v>533</v>
      </c>
      <c r="E377" s="399" t="s">
        <v>890</v>
      </c>
      <c r="F377" s="399" t="s">
        <v>1239</v>
      </c>
      <c r="G377" s="399" t="s">
        <v>1239</v>
      </c>
      <c r="H377" s="399" t="s">
        <v>1239</v>
      </c>
      <c r="I377" s="399" t="s">
        <v>1239</v>
      </c>
      <c r="J377" s="399" t="s">
        <v>2329</v>
      </c>
      <c r="K377" s="789">
        <v>44652</v>
      </c>
      <c r="L377" s="399">
        <v>10877</v>
      </c>
      <c r="M377" s="399">
        <v>10877</v>
      </c>
      <c r="N377" s="399">
        <v>0</v>
      </c>
      <c r="O377" s="399">
        <v>0</v>
      </c>
      <c r="P377" s="399">
        <v>0</v>
      </c>
      <c r="Q377" s="399">
        <v>0</v>
      </c>
      <c r="R377" s="399">
        <v>35.15</v>
      </c>
      <c r="S377" s="399"/>
      <c r="T377" s="399"/>
      <c r="U377" s="399">
        <v>382326.55</v>
      </c>
      <c r="V377" s="399"/>
      <c r="W377" s="399">
        <v>382326.55</v>
      </c>
      <c r="X377" s="399">
        <v>279103.82</v>
      </c>
      <c r="Y377" s="399">
        <v>0</v>
      </c>
      <c r="Z377" s="399">
        <v>0</v>
      </c>
      <c r="AA377" s="399">
        <v>0</v>
      </c>
      <c r="AB377" s="399">
        <v>0</v>
      </c>
      <c r="AC377" s="399">
        <v>0</v>
      </c>
      <c r="AD377" s="399">
        <v>145005.34730279332</v>
      </c>
      <c r="AE377" s="399">
        <v>237314.13823589846</v>
      </c>
      <c r="AF377" s="399"/>
      <c r="AG377" s="399"/>
      <c r="AH377" s="399"/>
      <c r="AI377" s="399">
        <v>0</v>
      </c>
      <c r="AJ377" s="399">
        <v>0</v>
      </c>
      <c r="AK377" s="399">
        <v>0</v>
      </c>
      <c r="AL377" s="399">
        <v>0</v>
      </c>
      <c r="AM377" s="399"/>
      <c r="AN377" s="399">
        <v>0</v>
      </c>
      <c r="AO377" s="399">
        <v>0</v>
      </c>
      <c r="AP377" s="399">
        <v>0</v>
      </c>
      <c r="AQ377" s="399">
        <v>0</v>
      </c>
      <c r="AR377" s="399">
        <v>0</v>
      </c>
      <c r="AS377" s="399"/>
      <c r="AT377" s="399"/>
      <c r="AU377" s="399">
        <v>0</v>
      </c>
      <c r="AV377" s="399">
        <v>0</v>
      </c>
      <c r="AW377" s="399">
        <v>0</v>
      </c>
      <c r="AX377" s="399"/>
      <c r="AY377" s="399"/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/>
      <c r="BG377" s="399">
        <v>0</v>
      </c>
      <c r="BH377" s="399">
        <v>0</v>
      </c>
      <c r="BI377" s="399">
        <v>6901.41</v>
      </c>
      <c r="BJ377" s="399">
        <v>31853.35</v>
      </c>
      <c r="BK377" s="399">
        <v>343592.64</v>
      </c>
      <c r="BL377" s="399">
        <v>30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0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279103.82</v>
      </c>
      <c r="CJ377" s="399">
        <v>-103222.76000000001</v>
      </c>
      <c r="CK377" s="399"/>
      <c r="CL377" s="399"/>
      <c r="CM377" s="399"/>
      <c r="CN377" s="399"/>
      <c r="CO377" s="399">
        <v>-103222.72999999998</v>
      </c>
      <c r="CP377" s="399">
        <v>0</v>
      </c>
      <c r="CQ377" s="399">
        <v>30</v>
      </c>
      <c r="CR377" s="399">
        <v>-690.61742460911046</v>
      </c>
      <c r="CS377" s="399">
        <v>0</v>
      </c>
      <c r="CT377" s="399">
        <v>0</v>
      </c>
      <c r="CU377" s="399">
        <v>0</v>
      </c>
      <c r="CV377" s="399">
        <v>0</v>
      </c>
      <c r="CW377" s="399"/>
      <c r="CX377" s="399"/>
      <c r="CY377" s="399"/>
      <c r="CZ377" s="399">
        <v>-690.61742460911046</v>
      </c>
      <c r="DA377" s="399">
        <v>0</v>
      </c>
      <c r="DB377" s="399">
        <v>0</v>
      </c>
      <c r="DC377" s="399"/>
      <c r="DD377" s="399"/>
      <c r="DE377" s="399">
        <v>0</v>
      </c>
      <c r="DF377" s="399">
        <v>0</v>
      </c>
      <c r="DG377" s="399">
        <v>0</v>
      </c>
      <c r="DH377" s="399">
        <v>0</v>
      </c>
      <c r="DI377" s="399">
        <v>0</v>
      </c>
      <c r="DJ377" s="399"/>
      <c r="DK377" s="399">
        <v>0</v>
      </c>
      <c r="DL377" s="399">
        <v>0</v>
      </c>
      <c r="DM377" s="399"/>
      <c r="DN377" s="399">
        <v>0</v>
      </c>
      <c r="DO377" s="399">
        <v>0</v>
      </c>
      <c r="DP377" s="399">
        <v>0</v>
      </c>
      <c r="DQ377" s="399">
        <v>0</v>
      </c>
      <c r="DR377" s="399">
        <v>0</v>
      </c>
      <c r="DS377" s="399"/>
      <c r="DT377" s="399"/>
      <c r="DU377" s="399">
        <v>237314.13823589846</v>
      </c>
      <c r="DV377" s="399"/>
      <c r="DW377" s="399">
        <v>0</v>
      </c>
      <c r="DX377" s="399">
        <v>0</v>
      </c>
      <c r="DY377" s="399">
        <v>-103222.72999999998</v>
      </c>
      <c r="DZ377" s="399"/>
      <c r="EA377" s="399">
        <v>0</v>
      </c>
      <c r="EB377" s="399"/>
      <c r="EC377" s="399">
        <v>-102524.30784416676</v>
      </c>
      <c r="ED377" s="399"/>
      <c r="EE377" s="399">
        <v>0</v>
      </c>
      <c r="EF377" s="399">
        <v>0</v>
      </c>
      <c r="EG377" s="399"/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/>
      <c r="EN377" s="399"/>
      <c r="EO377" s="399">
        <v>0</v>
      </c>
      <c r="EP377" s="399">
        <v>0</v>
      </c>
      <c r="EQ377" s="399"/>
      <c r="ER377" s="399">
        <v>0</v>
      </c>
      <c r="ES377" s="399"/>
      <c r="ET377" s="399">
        <v>0</v>
      </c>
      <c r="EU377" s="399"/>
      <c r="EV377" s="399">
        <v>218</v>
      </c>
      <c r="EW377" s="399"/>
      <c r="EX377" s="399"/>
      <c r="EY377" s="399"/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2361</v>
      </c>
      <c r="C378" s="399" t="s">
        <v>2334</v>
      </c>
      <c r="D378" s="399" t="s">
        <v>533</v>
      </c>
      <c r="E378" s="399" t="s">
        <v>890</v>
      </c>
      <c r="F378" s="399" t="s">
        <v>1239</v>
      </c>
      <c r="G378" s="399" t="s">
        <v>1239</v>
      </c>
      <c r="H378" s="399" t="s">
        <v>1239</v>
      </c>
      <c r="I378" s="399" t="s">
        <v>1239</v>
      </c>
      <c r="J378" s="399" t="s">
        <v>2329</v>
      </c>
      <c r="K378" s="789">
        <v>44652</v>
      </c>
      <c r="L378" s="399">
        <v>481</v>
      </c>
      <c r="M378" s="399">
        <v>481</v>
      </c>
      <c r="N378" s="399">
        <v>0</v>
      </c>
      <c r="O378" s="399">
        <v>0</v>
      </c>
      <c r="P378" s="399">
        <v>0</v>
      </c>
      <c r="Q378" s="399">
        <v>0</v>
      </c>
      <c r="R378" s="399">
        <v>35.15</v>
      </c>
      <c r="S378" s="399"/>
      <c r="T378" s="399"/>
      <c r="U378" s="399">
        <v>16907.149999999998</v>
      </c>
      <c r="V378" s="399"/>
      <c r="W378" s="399">
        <v>16907.149999999998</v>
      </c>
      <c r="X378" s="399">
        <v>12342.460000000001</v>
      </c>
      <c r="Y378" s="399">
        <v>0</v>
      </c>
      <c r="Z378" s="399">
        <v>0</v>
      </c>
      <c r="AA378" s="399">
        <v>0</v>
      </c>
      <c r="AB378" s="399">
        <v>0</v>
      </c>
      <c r="AC378" s="399">
        <v>0</v>
      </c>
      <c r="AD378" s="399">
        <v>6412.3905537044766</v>
      </c>
      <c r="AE378" s="399">
        <v>10494.447043437267</v>
      </c>
      <c r="AF378" s="399"/>
      <c r="AG378" s="399"/>
      <c r="AH378" s="399"/>
      <c r="AI378" s="399">
        <v>0</v>
      </c>
      <c r="AJ378" s="399">
        <v>0</v>
      </c>
      <c r="AK378" s="399">
        <v>0</v>
      </c>
      <c r="AL378" s="399">
        <v>0</v>
      </c>
      <c r="AM378" s="399"/>
      <c r="AN378" s="399">
        <v>0</v>
      </c>
      <c r="AO378" s="399">
        <v>0</v>
      </c>
      <c r="AP378" s="399">
        <v>0</v>
      </c>
      <c r="AQ378" s="399">
        <v>0</v>
      </c>
      <c r="AR378" s="399">
        <v>0</v>
      </c>
      <c r="AS378" s="399"/>
      <c r="AT378" s="399"/>
      <c r="AU378" s="399">
        <v>0</v>
      </c>
      <c r="AV378" s="399">
        <v>0</v>
      </c>
      <c r="AW378" s="399">
        <v>0</v>
      </c>
      <c r="AX378" s="399"/>
      <c r="AY378" s="399"/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/>
      <c r="BG378" s="399">
        <v>0</v>
      </c>
      <c r="BH378" s="399">
        <v>0</v>
      </c>
      <c r="BI378" s="399">
        <v>125.66</v>
      </c>
      <c r="BJ378" s="399">
        <v>580.04</v>
      </c>
      <c r="BK378" s="399">
        <v>7666.06</v>
      </c>
      <c r="BL378" s="399">
        <v>2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0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12342.460000000001</v>
      </c>
      <c r="CJ378" s="399">
        <v>-4564.7199999999921</v>
      </c>
      <c r="CK378" s="399"/>
      <c r="CL378" s="399"/>
      <c r="CM378" s="399"/>
      <c r="CN378" s="399"/>
      <c r="CO378" s="399">
        <v>-4564.6899999999996</v>
      </c>
      <c r="CP378" s="399">
        <v>0</v>
      </c>
      <c r="CQ378" s="399">
        <v>30</v>
      </c>
      <c r="CR378" s="399">
        <v>-30.540312699916285</v>
      </c>
      <c r="CS378" s="399">
        <v>0</v>
      </c>
      <c r="CT378" s="399">
        <v>0</v>
      </c>
      <c r="CU378" s="399">
        <v>0</v>
      </c>
      <c r="CV378" s="399">
        <v>0</v>
      </c>
      <c r="CW378" s="399"/>
      <c r="CX378" s="399"/>
      <c r="CY378" s="399"/>
      <c r="CZ378" s="399">
        <v>-30.540312699916285</v>
      </c>
      <c r="DA378" s="399">
        <v>0</v>
      </c>
      <c r="DB378" s="399">
        <v>0</v>
      </c>
      <c r="DC378" s="399"/>
      <c r="DD378" s="399"/>
      <c r="DE378" s="399">
        <v>0</v>
      </c>
      <c r="DF378" s="399">
        <v>0</v>
      </c>
      <c r="DG378" s="399">
        <v>0</v>
      </c>
      <c r="DH378" s="399">
        <v>0</v>
      </c>
      <c r="DI378" s="399">
        <v>0</v>
      </c>
      <c r="DJ378" s="399"/>
      <c r="DK378" s="399">
        <v>0</v>
      </c>
      <c r="DL378" s="399">
        <v>0</v>
      </c>
      <c r="DM378" s="399"/>
      <c r="DN378" s="399">
        <v>0</v>
      </c>
      <c r="DO378" s="399">
        <v>0</v>
      </c>
      <c r="DP378" s="399">
        <v>0</v>
      </c>
      <c r="DQ378" s="399">
        <v>0</v>
      </c>
      <c r="DR378" s="399">
        <v>0</v>
      </c>
      <c r="DS378" s="399"/>
      <c r="DT378" s="399"/>
      <c r="DU378" s="399">
        <v>10494.447043437267</v>
      </c>
      <c r="DV378" s="399"/>
      <c r="DW378" s="399">
        <v>0</v>
      </c>
      <c r="DX378" s="399">
        <v>0</v>
      </c>
      <c r="DY378" s="399">
        <v>-4564.6899999999969</v>
      </c>
      <c r="DZ378" s="399"/>
      <c r="EA378" s="399">
        <v>0</v>
      </c>
      <c r="EB378" s="399"/>
      <c r="EC378" s="399">
        <v>-4533.8045484089553</v>
      </c>
      <c r="ED378" s="399"/>
      <c r="EE378" s="399">
        <v>0</v>
      </c>
      <c r="EF378" s="399">
        <v>0</v>
      </c>
      <c r="EG378" s="399"/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/>
      <c r="EN378" s="399"/>
      <c r="EO378" s="399">
        <v>0</v>
      </c>
      <c r="EP378" s="399">
        <v>0</v>
      </c>
      <c r="EQ378" s="399"/>
      <c r="ER378" s="399">
        <v>0</v>
      </c>
      <c r="ES378" s="399"/>
      <c r="ET378" s="399">
        <v>0</v>
      </c>
      <c r="EU378" s="399"/>
      <c r="EV378" s="399">
        <v>218</v>
      </c>
      <c r="EW378" s="399"/>
      <c r="EX378" s="399"/>
      <c r="EY378" s="399"/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956</v>
      </c>
      <c r="C379" s="399" t="s">
        <v>2328</v>
      </c>
      <c r="D379" s="399" t="s">
        <v>1826</v>
      </c>
      <c r="E379" s="399" t="s">
        <v>918</v>
      </c>
      <c r="F379" s="399" t="s">
        <v>1239</v>
      </c>
      <c r="G379" s="399" t="s">
        <v>1239</v>
      </c>
      <c r="H379" s="399" t="s">
        <v>1239</v>
      </c>
      <c r="I379" s="399" t="s">
        <v>1239</v>
      </c>
      <c r="J379" s="399" t="s">
        <v>2329</v>
      </c>
      <c r="K379" s="789">
        <v>44652</v>
      </c>
      <c r="L379" s="399">
        <v>0</v>
      </c>
      <c r="M379" s="399">
        <v>0</v>
      </c>
      <c r="N379" s="399">
        <v>228.21299999999999</v>
      </c>
      <c r="O379" s="399">
        <v>228.21299999999999</v>
      </c>
      <c r="P379" s="399">
        <v>228.21299999999999</v>
      </c>
      <c r="Q379" s="399">
        <v>228.21299999999999</v>
      </c>
      <c r="R379" s="399"/>
      <c r="S379" s="399">
        <v>521.86</v>
      </c>
      <c r="T379" s="399">
        <v>141.32</v>
      </c>
      <c r="U379" s="399"/>
      <c r="V379" s="399">
        <v>151346.29733999999</v>
      </c>
      <c r="W379" s="399">
        <v>151346.29733999999</v>
      </c>
      <c r="X379" s="399">
        <v>118289.64429</v>
      </c>
      <c r="Y379" s="399">
        <v>0</v>
      </c>
      <c r="Z379" s="399">
        <v>13847.289898574569</v>
      </c>
      <c r="AA379" s="399">
        <v>0</v>
      </c>
      <c r="AB379" s="399">
        <v>0</v>
      </c>
      <c r="AC379" s="399">
        <v>0</v>
      </c>
      <c r="AD379" s="399">
        <v>24545.175866775462</v>
      </c>
      <c r="AE379" s="399">
        <v>74157.995746937886</v>
      </c>
      <c r="AF379" s="399">
        <v>32250.816979389623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2141.092619936011</v>
      </c>
      <c r="AM379" s="399"/>
      <c r="AN379" s="399">
        <v>316.50100643605128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4086.1304897835898</v>
      </c>
      <c r="BH379" s="399">
        <v>0</v>
      </c>
      <c r="BI379" s="399">
        <v>977.76</v>
      </c>
      <c r="BJ379" s="399">
        <v>4525.78</v>
      </c>
      <c r="BK379" s="399">
        <v>49720.25</v>
      </c>
      <c r="BL379" s="399">
        <v>588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36336.94746917321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118288.08929999999</v>
      </c>
      <c r="CJ379" s="399">
        <v>-33058.238040000026</v>
      </c>
      <c r="CK379" s="399"/>
      <c r="CL379" s="399"/>
      <c r="CM379" s="399"/>
      <c r="CN379" s="399"/>
      <c r="CO379" s="399">
        <v>-33056.653050000001</v>
      </c>
      <c r="CP379" s="399">
        <v>0</v>
      </c>
      <c r="CQ379" s="399">
        <v>30</v>
      </c>
      <c r="CR379" s="399">
        <v>-1016.8571899690432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-116.90138645925981</v>
      </c>
      <c r="DA379" s="399">
        <v>0</v>
      </c>
      <c r="DB379" s="399">
        <v>0</v>
      </c>
      <c r="DC379" s="399">
        <v>0</v>
      </c>
      <c r="DD379" s="399">
        <v>0</v>
      </c>
      <c r="DE379" s="399">
        <v>0</v>
      </c>
      <c r="DF379" s="399">
        <v>0</v>
      </c>
      <c r="DG379" s="399">
        <v>0</v>
      </c>
      <c r="DH379" s="399">
        <v>0</v>
      </c>
      <c r="DI379" s="399">
        <v>-780.20701249515878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-106.9865494437463</v>
      </c>
      <c r="DP379" s="399">
        <v>-12.762241570886601</v>
      </c>
      <c r="DQ379" s="399">
        <v>0</v>
      </c>
      <c r="DR379" s="399">
        <v>0</v>
      </c>
      <c r="DS379" s="399"/>
      <c r="DT379" s="399"/>
      <c r="DU379" s="399"/>
      <c r="DV379" s="399">
        <v>74157.995746937886</v>
      </c>
      <c r="DW379" s="399">
        <v>0</v>
      </c>
      <c r="DX379" s="399">
        <v>0</v>
      </c>
      <c r="DY379" s="399">
        <v>-33056.653050000008</v>
      </c>
      <c r="DZ379" s="399">
        <v>0</v>
      </c>
      <c r="EA379" s="399">
        <v>0</v>
      </c>
      <c r="EB379" s="399">
        <v>0</v>
      </c>
      <c r="EC379" s="399">
        <v>-32037.691650329791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218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2360</v>
      </c>
      <c r="C380" s="399" t="s">
        <v>2328</v>
      </c>
      <c r="D380" s="399" t="s">
        <v>1826</v>
      </c>
      <c r="E380" s="399" t="s">
        <v>918</v>
      </c>
      <c r="F380" s="399" t="s">
        <v>1239</v>
      </c>
      <c r="G380" s="399" t="s">
        <v>1239</v>
      </c>
      <c r="H380" s="399" t="s">
        <v>1239</v>
      </c>
      <c r="I380" s="399" t="s">
        <v>1239</v>
      </c>
      <c r="J380" s="399" t="s">
        <v>2329</v>
      </c>
      <c r="K380" s="789">
        <v>44652</v>
      </c>
      <c r="L380" s="399">
        <v>0</v>
      </c>
      <c r="M380" s="399">
        <v>0</v>
      </c>
      <c r="N380" s="399">
        <v>-1</v>
      </c>
      <c r="O380" s="399">
        <v>-1</v>
      </c>
      <c r="P380" s="399">
        <v>-1</v>
      </c>
      <c r="Q380" s="399">
        <v>-1</v>
      </c>
      <c r="R380" s="399"/>
      <c r="S380" s="399">
        <v>521.86</v>
      </c>
      <c r="T380" s="399">
        <v>141.32</v>
      </c>
      <c r="U380" s="399"/>
      <c r="V380" s="399">
        <v>-663.18000000000006</v>
      </c>
      <c r="W380" s="399">
        <v>-663.18000000000006</v>
      </c>
      <c r="X380" s="399">
        <v>-518.32999999999993</v>
      </c>
      <c r="Y380" s="399">
        <v>0</v>
      </c>
      <c r="Z380" s="399">
        <v>-60.677042493523899</v>
      </c>
      <c r="AA380" s="399">
        <v>0</v>
      </c>
      <c r="AB380" s="399">
        <v>0</v>
      </c>
      <c r="AC380" s="399">
        <v>0</v>
      </c>
      <c r="AD380" s="399">
        <v>-107.553802223254</v>
      </c>
      <c r="AE380" s="399">
        <v>-324.95079485804001</v>
      </c>
      <c r="AF380" s="399">
        <v>-141.31893003198601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-9.3819923489722807</v>
      </c>
      <c r="AM380" s="399"/>
      <c r="AN380" s="399">
        <v>-1.3868666834757499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-17.9048980109967</v>
      </c>
      <c r="BH380" s="399">
        <v>0</v>
      </c>
      <c r="BI380" s="399">
        <v>-4.46</v>
      </c>
      <c r="BJ380" s="399">
        <v>-20.55</v>
      </c>
      <c r="BK380" s="399">
        <v>-228.44</v>
      </c>
      <c r="BL380" s="399">
        <v>0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-159.22382804298272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-518.32999999999993</v>
      </c>
      <c r="CJ380" s="399">
        <v>144.82000000000016</v>
      </c>
      <c r="CK380" s="399"/>
      <c r="CL380" s="399"/>
      <c r="CM380" s="399"/>
      <c r="CN380" s="399"/>
      <c r="CO380" s="399">
        <v>144.85000000000002</v>
      </c>
      <c r="CP380" s="399">
        <v>0</v>
      </c>
      <c r="CQ380" s="399">
        <v>30</v>
      </c>
      <c r="CR380" s="399">
        <v>4.4557373592610929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0.51224683282399042</v>
      </c>
      <c r="DA380" s="399">
        <v>0</v>
      </c>
      <c r="DB380" s="399">
        <v>0</v>
      </c>
      <c r="DC380" s="399">
        <v>0</v>
      </c>
      <c r="DD380" s="399">
        <v>0</v>
      </c>
      <c r="DE380" s="399">
        <v>0</v>
      </c>
      <c r="DF380" s="399">
        <v>0</v>
      </c>
      <c r="DG380" s="399">
        <v>0</v>
      </c>
      <c r="DH380" s="399">
        <v>0</v>
      </c>
      <c r="DI380" s="399">
        <v>3.4187667332498961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0.46880129284373062</v>
      </c>
      <c r="DP380" s="399">
        <v>5.5922500343480008E-2</v>
      </c>
      <c r="DQ380" s="399">
        <v>0</v>
      </c>
      <c r="DR380" s="399">
        <v>0</v>
      </c>
      <c r="DS380" s="399"/>
      <c r="DT380" s="399"/>
      <c r="DU380" s="399"/>
      <c r="DV380" s="399">
        <v>-324.95079485804001</v>
      </c>
      <c r="DW380" s="399">
        <v>0</v>
      </c>
      <c r="DX380" s="399">
        <v>0</v>
      </c>
      <c r="DY380" s="399">
        <v>144.85000000000002</v>
      </c>
      <c r="DZ380" s="399">
        <v>0</v>
      </c>
      <c r="EA380" s="399">
        <v>0</v>
      </c>
      <c r="EB380" s="399">
        <v>0</v>
      </c>
      <c r="EC380" s="399">
        <v>140.38504226459401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218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2361</v>
      </c>
      <c r="C381" s="399" t="s">
        <v>2328</v>
      </c>
      <c r="D381" s="399" t="s">
        <v>1826</v>
      </c>
      <c r="E381" s="399" t="s">
        <v>918</v>
      </c>
      <c r="F381" s="399" t="s">
        <v>1239</v>
      </c>
      <c r="G381" s="399" t="s">
        <v>1239</v>
      </c>
      <c r="H381" s="399" t="s">
        <v>1239</v>
      </c>
      <c r="I381" s="399" t="s">
        <v>1239</v>
      </c>
      <c r="J381" s="399" t="s">
        <v>2329</v>
      </c>
      <c r="K381" s="789">
        <v>44652</v>
      </c>
      <c r="L381" s="399">
        <v>0</v>
      </c>
      <c r="M381" s="399">
        <v>0</v>
      </c>
      <c r="N381" s="399">
        <v>9.9359999999999999</v>
      </c>
      <c r="O381" s="399">
        <v>9.9359999999999999</v>
      </c>
      <c r="P381" s="399">
        <v>9.9359999999999999</v>
      </c>
      <c r="Q381" s="399">
        <v>9.9359999999999999</v>
      </c>
      <c r="R381" s="399"/>
      <c r="S381" s="399">
        <v>521.86</v>
      </c>
      <c r="T381" s="399">
        <v>141.32</v>
      </c>
      <c r="U381" s="399"/>
      <c r="V381" s="399">
        <v>6589.3564800000004</v>
      </c>
      <c r="W381" s="399">
        <v>6589.3564800000004</v>
      </c>
      <c r="X381" s="399">
        <v>5150.1268799999998</v>
      </c>
      <c r="Y381" s="399">
        <v>0</v>
      </c>
      <c r="Z381" s="399">
        <v>602.88709421565341</v>
      </c>
      <c r="AA381" s="399">
        <v>0</v>
      </c>
      <c r="AB381" s="399">
        <v>0</v>
      </c>
      <c r="AC381" s="399">
        <v>0</v>
      </c>
      <c r="AD381" s="399">
        <v>1068.6545788902517</v>
      </c>
      <c r="AE381" s="399">
        <v>3228.7110977094853</v>
      </c>
      <c r="AF381" s="399">
        <v>1404.1448887978131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93.219475979388577</v>
      </c>
      <c r="AM381" s="399"/>
      <c r="AN381" s="399">
        <v>13.779907367015051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177.90306663726321</v>
      </c>
      <c r="BH381" s="399">
        <v>0</v>
      </c>
      <c r="BI381" s="399">
        <v>44.12</v>
      </c>
      <c r="BJ381" s="399">
        <v>204.3</v>
      </c>
      <c r="BK381" s="399">
        <v>4595.66</v>
      </c>
      <c r="BL381" s="399">
        <v>30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1582.0479554350763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5152.2001999999993</v>
      </c>
      <c r="CJ381" s="399">
        <v>-1437.1862800000017</v>
      </c>
      <c r="CK381" s="399"/>
      <c r="CL381" s="399"/>
      <c r="CM381" s="399"/>
      <c r="CN381" s="399"/>
      <c r="CO381" s="399">
        <v>-1439.2296000000001</v>
      </c>
      <c r="CP381" s="399">
        <v>0</v>
      </c>
      <c r="CQ381" s="399">
        <v>30</v>
      </c>
      <c r="CR381" s="399">
        <v>-44.272206401618405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-5.0896845309391665</v>
      </c>
      <c r="DA381" s="399">
        <v>0</v>
      </c>
      <c r="DB381" s="399">
        <v>0</v>
      </c>
      <c r="DC381" s="399">
        <v>0</v>
      </c>
      <c r="DD381" s="399">
        <v>0</v>
      </c>
      <c r="DE381" s="399">
        <v>0</v>
      </c>
      <c r="DF381" s="399">
        <v>0</v>
      </c>
      <c r="DG381" s="399">
        <v>0</v>
      </c>
      <c r="DH381" s="399">
        <v>0</v>
      </c>
      <c r="DI381" s="399">
        <v>-33.968866261570952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-4.6580096456953015</v>
      </c>
      <c r="DP381" s="399">
        <v>-0.55564596341281636</v>
      </c>
      <c r="DQ381" s="399">
        <v>0</v>
      </c>
      <c r="DR381" s="399">
        <v>0</v>
      </c>
      <c r="DS381" s="399"/>
      <c r="DT381" s="399"/>
      <c r="DU381" s="399"/>
      <c r="DV381" s="399">
        <v>3228.7110977094853</v>
      </c>
      <c r="DW381" s="399">
        <v>0</v>
      </c>
      <c r="DX381" s="399">
        <v>0</v>
      </c>
      <c r="DY381" s="399">
        <v>-1439.2296000000001</v>
      </c>
      <c r="DZ381" s="399">
        <v>0</v>
      </c>
      <c r="EA381" s="399">
        <v>0</v>
      </c>
      <c r="EB381" s="399">
        <v>0</v>
      </c>
      <c r="EC381" s="399">
        <v>-1394.8657799410057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218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956</v>
      </c>
      <c r="C382" s="399" t="s">
        <v>2334</v>
      </c>
      <c r="D382" s="399" t="s">
        <v>533</v>
      </c>
      <c r="E382" s="399" t="s">
        <v>918</v>
      </c>
      <c r="F382" s="399" t="s">
        <v>1239</v>
      </c>
      <c r="G382" s="399" t="s">
        <v>1239</v>
      </c>
      <c r="H382" s="399" t="s">
        <v>1239</v>
      </c>
      <c r="I382" s="399" t="s">
        <v>893</v>
      </c>
      <c r="J382" s="399" t="s">
        <v>2329</v>
      </c>
      <c r="K382" s="789">
        <v>44652</v>
      </c>
      <c r="L382" s="399">
        <v>0</v>
      </c>
      <c r="M382" s="399">
        <v>0</v>
      </c>
      <c r="N382" s="399">
        <v>1.9390000000000001</v>
      </c>
      <c r="O382" s="399">
        <v>1.9390000000000001</v>
      </c>
      <c r="P382" s="399">
        <v>1.9390000000000001</v>
      </c>
      <c r="Q382" s="399">
        <v>1.9390000000000001</v>
      </c>
      <c r="R382" s="399"/>
      <c r="S382" s="399">
        <v>2741.05</v>
      </c>
      <c r="T382" s="399">
        <v>141.32</v>
      </c>
      <c r="U382" s="399"/>
      <c r="V382" s="399">
        <v>5588.91543</v>
      </c>
      <c r="W382" s="399">
        <v>5588.91543</v>
      </c>
      <c r="X382" s="399">
        <v>4001.8633199999999</v>
      </c>
      <c r="Y382" s="399">
        <v>0</v>
      </c>
      <c r="Z382" s="399">
        <v>102.35792329360029</v>
      </c>
      <c r="AA382" s="399">
        <v>0</v>
      </c>
      <c r="AB382" s="399">
        <v>0</v>
      </c>
      <c r="AC382" s="399">
        <v>0</v>
      </c>
      <c r="AD382" s="399">
        <v>1538.7157080292191</v>
      </c>
      <c r="AE382" s="399">
        <v>3641.0711400389664</v>
      </c>
      <c r="AF382" s="399">
        <v>274.01740533202087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18.191683164657253</v>
      </c>
      <c r="AM382" s="399"/>
      <c r="AN382" s="399">
        <v>1.1648395377080427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13.404226385801582</v>
      </c>
      <c r="BH382" s="399">
        <v>0</v>
      </c>
      <c r="BI382" s="399">
        <v>0</v>
      </c>
      <c r="BJ382" s="399">
        <v>0</v>
      </c>
      <c r="BK382" s="399">
        <v>0</v>
      </c>
      <c r="BL382" s="399">
        <v>0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287.42163171782244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4003.9272000000001</v>
      </c>
      <c r="CJ382" s="399">
        <v>-1585.0182300000006</v>
      </c>
      <c r="CK382" s="399"/>
      <c r="CL382" s="399"/>
      <c r="CM382" s="399"/>
      <c r="CN382" s="399"/>
      <c r="CO382" s="399">
        <v>-1587.0521100000005</v>
      </c>
      <c r="CP382" s="399">
        <v>0</v>
      </c>
      <c r="CQ382" s="399">
        <v>30</v>
      </c>
      <c r="CR382" s="399">
        <v>-14.051641744067638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-7.3284461521764115</v>
      </c>
      <c r="DA382" s="399">
        <v>0</v>
      </c>
      <c r="DB382" s="399">
        <v>0</v>
      </c>
      <c r="DC382" s="399">
        <v>0</v>
      </c>
      <c r="DD382" s="399">
        <v>0</v>
      </c>
      <c r="DE382" s="399">
        <v>0</v>
      </c>
      <c r="DF382" s="399">
        <v>0</v>
      </c>
      <c r="DG382" s="399">
        <v>0</v>
      </c>
      <c r="DH382" s="399">
        <v>0</v>
      </c>
      <c r="DI382" s="399">
        <v>-5.767220165321433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-0.90900570682399362</v>
      </c>
      <c r="DP382" s="399">
        <v>-4.6969719745757699E-2</v>
      </c>
      <c r="DQ382" s="399">
        <v>0</v>
      </c>
      <c r="DR382" s="399">
        <v>0</v>
      </c>
      <c r="DS382" s="399"/>
      <c r="DT382" s="399"/>
      <c r="DU382" s="399"/>
      <c r="DV382" s="399">
        <v>3641.0711400389664</v>
      </c>
      <c r="DW382" s="399">
        <v>0</v>
      </c>
      <c r="DX382" s="399">
        <v>0</v>
      </c>
      <c r="DY382" s="399">
        <v>-1587.0521100000001</v>
      </c>
      <c r="DZ382" s="399">
        <v>0</v>
      </c>
      <c r="EA382" s="399">
        <v>0</v>
      </c>
      <c r="EB382" s="399">
        <v>0</v>
      </c>
      <c r="EC382" s="399">
        <v>-1573.0133114648047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218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956</v>
      </c>
      <c r="C383" s="399" t="s">
        <v>2334</v>
      </c>
      <c r="D383" s="399" t="s">
        <v>533</v>
      </c>
      <c r="E383" s="399" t="s">
        <v>918</v>
      </c>
      <c r="F383" s="399" t="s">
        <v>1239</v>
      </c>
      <c r="G383" s="399" t="s">
        <v>1239</v>
      </c>
      <c r="H383" s="399" t="s">
        <v>1239</v>
      </c>
      <c r="I383" s="399" t="s">
        <v>2326</v>
      </c>
      <c r="J383" s="399" t="s">
        <v>2329</v>
      </c>
      <c r="K383" s="789">
        <v>44652</v>
      </c>
      <c r="L383" s="399">
        <v>0</v>
      </c>
      <c r="M383" s="399">
        <v>0</v>
      </c>
      <c r="N383" s="399">
        <v>31.109000000000002</v>
      </c>
      <c r="O383" s="399">
        <v>31.109000000000002</v>
      </c>
      <c r="P383" s="399">
        <v>31.109000000000002</v>
      </c>
      <c r="Q383" s="399">
        <v>31.109000000000002</v>
      </c>
      <c r="R383" s="399"/>
      <c r="S383" s="399">
        <v>69.680000000000007</v>
      </c>
      <c r="T383" s="399">
        <v>141.32</v>
      </c>
      <c r="U383" s="399"/>
      <c r="V383" s="399">
        <v>6563.9989999999998</v>
      </c>
      <c r="W383" s="399">
        <v>6563.9989999999998</v>
      </c>
      <c r="X383" s="399">
        <v>6456.36186</v>
      </c>
      <c r="Y383" s="399">
        <v>0</v>
      </c>
      <c r="Z383" s="399">
        <v>1642.2138399900007</v>
      </c>
      <c r="AA383" s="399">
        <v>0</v>
      </c>
      <c r="AB383" s="399">
        <v>0</v>
      </c>
      <c r="AC383" s="399">
        <v>0</v>
      </c>
      <c r="AD383" s="399">
        <v>0</v>
      </c>
      <c r="AE383" s="399">
        <v>0</v>
      </c>
      <c r="AF383" s="399">
        <v>4396.290594365053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291.8643999841787</v>
      </c>
      <c r="AM383" s="399"/>
      <c r="AN383" s="399">
        <v>18.68849570838551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215.05522363893834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4611.3458180039916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6456.5693999999994</v>
      </c>
      <c r="CJ383" s="399">
        <v>-107.45960000000105</v>
      </c>
      <c r="CK383" s="399"/>
      <c r="CL383" s="399"/>
      <c r="CM383" s="399"/>
      <c r="CN383" s="399"/>
      <c r="CO383" s="399">
        <v>-107.63714000000026</v>
      </c>
      <c r="CP383" s="399">
        <v>0</v>
      </c>
      <c r="CQ383" s="399">
        <v>30</v>
      </c>
      <c r="CR383" s="399">
        <v>-107.86585439306054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0</v>
      </c>
      <c r="DA383" s="399">
        <v>0</v>
      </c>
      <c r="DB383" s="399">
        <v>0</v>
      </c>
      <c r="DC383" s="399">
        <v>0</v>
      </c>
      <c r="DD383" s="399">
        <v>0</v>
      </c>
      <c r="DE383" s="399">
        <v>0</v>
      </c>
      <c r="DF383" s="399">
        <v>0</v>
      </c>
      <c r="DG383" s="399">
        <v>0</v>
      </c>
      <c r="DH383" s="399">
        <v>0</v>
      </c>
      <c r="DI383" s="399">
        <v>-92.528340445066533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-14.583939419075648</v>
      </c>
      <c r="DP383" s="399">
        <v>-0.75357452891736898</v>
      </c>
      <c r="DQ383" s="399">
        <v>0</v>
      </c>
      <c r="DR383" s="399">
        <v>0</v>
      </c>
      <c r="DS383" s="399"/>
      <c r="DT383" s="399"/>
      <c r="DU383" s="399"/>
      <c r="DV383" s="399">
        <v>0</v>
      </c>
      <c r="DW383" s="399">
        <v>0</v>
      </c>
      <c r="DX383" s="399">
        <v>0</v>
      </c>
      <c r="DY383" s="399">
        <v>-107.63714000000027</v>
      </c>
      <c r="DZ383" s="399">
        <v>0</v>
      </c>
      <c r="EA383" s="399">
        <v>0</v>
      </c>
      <c r="EB383" s="399">
        <v>0</v>
      </c>
      <c r="EC383" s="399">
        <v>0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218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956</v>
      </c>
      <c r="C384" s="399" t="s">
        <v>2334</v>
      </c>
      <c r="D384" s="399" t="s">
        <v>533</v>
      </c>
      <c r="E384" s="399" t="s">
        <v>918</v>
      </c>
      <c r="F384" s="399" t="s">
        <v>1239</v>
      </c>
      <c r="G384" s="399" t="s">
        <v>1239</v>
      </c>
      <c r="H384" s="399" t="s">
        <v>1239</v>
      </c>
      <c r="I384" s="399" t="s">
        <v>1239</v>
      </c>
      <c r="J384" s="399" t="s">
        <v>2329</v>
      </c>
      <c r="K384" s="789">
        <v>44652</v>
      </c>
      <c r="L384" s="399">
        <v>314</v>
      </c>
      <c r="M384" s="399">
        <v>314</v>
      </c>
      <c r="N384" s="399">
        <v>0</v>
      </c>
      <c r="O384" s="399">
        <v>0</v>
      </c>
      <c r="P384" s="399">
        <v>0</v>
      </c>
      <c r="Q384" s="399">
        <v>0</v>
      </c>
      <c r="R384" s="399">
        <v>35.15</v>
      </c>
      <c r="S384" s="399"/>
      <c r="T384" s="399"/>
      <c r="U384" s="399">
        <v>11037.1</v>
      </c>
      <c r="V384" s="399"/>
      <c r="W384" s="399">
        <v>11037.1</v>
      </c>
      <c r="X384" s="399">
        <v>8057.24</v>
      </c>
      <c r="Y384" s="399">
        <v>0</v>
      </c>
      <c r="Z384" s="399">
        <v>0</v>
      </c>
      <c r="AA384" s="399">
        <v>0</v>
      </c>
      <c r="AB384" s="399">
        <v>0</v>
      </c>
      <c r="AC384" s="399">
        <v>0</v>
      </c>
      <c r="AD384" s="399">
        <v>4186.0512138528184</v>
      </c>
      <c r="AE384" s="399">
        <v>6850.8448474829565</v>
      </c>
      <c r="AF384" s="399"/>
      <c r="AG384" s="399"/>
      <c r="AH384" s="399"/>
      <c r="AI384" s="399">
        <v>0</v>
      </c>
      <c r="AJ384" s="399">
        <v>0</v>
      </c>
      <c r="AK384" s="399">
        <v>0</v>
      </c>
      <c r="AL384" s="399">
        <v>0</v>
      </c>
      <c r="AM384" s="399"/>
      <c r="AN384" s="399">
        <v>0</v>
      </c>
      <c r="AO384" s="399">
        <v>0</v>
      </c>
      <c r="AP384" s="399">
        <v>0</v>
      </c>
      <c r="AQ384" s="399">
        <v>0</v>
      </c>
      <c r="AR384" s="399">
        <v>0</v>
      </c>
      <c r="AS384" s="399"/>
      <c r="AT384" s="399"/>
      <c r="AU384" s="399">
        <v>0</v>
      </c>
      <c r="AV384" s="399">
        <v>0</v>
      </c>
      <c r="AW384" s="399">
        <v>0</v>
      </c>
      <c r="AX384" s="399"/>
      <c r="AY384" s="399"/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/>
      <c r="BG384" s="399">
        <v>0</v>
      </c>
      <c r="BH384" s="399">
        <v>0</v>
      </c>
      <c r="BI384" s="399">
        <v>145.57</v>
      </c>
      <c r="BJ384" s="399">
        <v>671.93</v>
      </c>
      <c r="BK384" s="399">
        <v>7314.95</v>
      </c>
      <c r="BL384" s="399">
        <v>3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0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8057.24</v>
      </c>
      <c r="CJ384" s="399">
        <v>-2979.8900000000012</v>
      </c>
      <c r="CK384" s="399"/>
      <c r="CL384" s="399"/>
      <c r="CM384" s="399"/>
      <c r="CN384" s="399"/>
      <c r="CO384" s="399">
        <v>-2979.8599999999997</v>
      </c>
      <c r="CP384" s="399">
        <v>0</v>
      </c>
      <c r="CQ384" s="399">
        <v>30</v>
      </c>
      <c r="CR384" s="399">
        <v>-19.93691930930072</v>
      </c>
      <c r="CS384" s="399">
        <v>0</v>
      </c>
      <c r="CT384" s="399">
        <v>0</v>
      </c>
      <c r="CU384" s="399">
        <v>0</v>
      </c>
      <c r="CV384" s="399">
        <v>0</v>
      </c>
      <c r="CW384" s="399"/>
      <c r="CX384" s="399"/>
      <c r="CY384" s="399"/>
      <c r="CZ384" s="399">
        <v>-19.93691930930072</v>
      </c>
      <c r="DA384" s="399">
        <v>0</v>
      </c>
      <c r="DB384" s="399">
        <v>0</v>
      </c>
      <c r="DC384" s="399"/>
      <c r="DD384" s="399"/>
      <c r="DE384" s="399">
        <v>0</v>
      </c>
      <c r="DF384" s="399">
        <v>0</v>
      </c>
      <c r="DG384" s="399">
        <v>0</v>
      </c>
      <c r="DH384" s="399">
        <v>0</v>
      </c>
      <c r="DI384" s="399">
        <v>0</v>
      </c>
      <c r="DJ384" s="399"/>
      <c r="DK384" s="399">
        <v>0</v>
      </c>
      <c r="DL384" s="399">
        <v>0</v>
      </c>
      <c r="DM384" s="399"/>
      <c r="DN384" s="399">
        <v>0</v>
      </c>
      <c r="DO384" s="399">
        <v>0</v>
      </c>
      <c r="DP384" s="399">
        <v>0</v>
      </c>
      <c r="DQ384" s="399">
        <v>0</v>
      </c>
      <c r="DR384" s="399">
        <v>0</v>
      </c>
      <c r="DS384" s="399"/>
      <c r="DT384" s="399"/>
      <c r="DU384" s="399">
        <v>6850.8448474829565</v>
      </c>
      <c r="DV384" s="399"/>
      <c r="DW384" s="399">
        <v>0</v>
      </c>
      <c r="DX384" s="399">
        <v>0</v>
      </c>
      <c r="DY384" s="399">
        <v>-2979.8600000000006</v>
      </c>
      <c r="DZ384" s="399"/>
      <c r="EA384" s="399">
        <v>0</v>
      </c>
      <c r="EB384" s="399"/>
      <c r="EC384" s="399">
        <v>-2959.697771726429</v>
      </c>
      <c r="ED384" s="399"/>
      <c r="EE384" s="399">
        <v>0</v>
      </c>
      <c r="EF384" s="399">
        <v>0</v>
      </c>
      <c r="EG384" s="399"/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/>
      <c r="EN384" s="399"/>
      <c r="EO384" s="399">
        <v>0</v>
      </c>
      <c r="EP384" s="399">
        <v>0</v>
      </c>
      <c r="EQ384" s="399"/>
      <c r="ER384" s="399">
        <v>0</v>
      </c>
      <c r="ES384" s="399"/>
      <c r="ET384" s="399">
        <v>0</v>
      </c>
      <c r="EU384" s="399"/>
      <c r="EV384" s="399">
        <v>218</v>
      </c>
      <c r="EW384" s="399"/>
      <c r="EX384" s="399"/>
      <c r="EY384" s="399"/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956</v>
      </c>
      <c r="C385" s="399" t="s">
        <v>2328</v>
      </c>
      <c r="D385" s="399" t="s">
        <v>2335</v>
      </c>
      <c r="E385" s="399" t="s">
        <v>894</v>
      </c>
      <c r="F385" s="399" t="s">
        <v>1239</v>
      </c>
      <c r="G385" s="399" t="s">
        <v>1239</v>
      </c>
      <c r="H385" s="399" t="s">
        <v>1239</v>
      </c>
      <c r="I385" s="399" t="s">
        <v>1239</v>
      </c>
      <c r="J385" s="399" t="s">
        <v>2329</v>
      </c>
      <c r="K385" s="789">
        <v>44652</v>
      </c>
      <c r="L385" s="399">
        <v>0</v>
      </c>
      <c r="M385" s="399">
        <v>0</v>
      </c>
      <c r="N385" s="399">
        <v>2843.1210000000001</v>
      </c>
      <c r="O385" s="399">
        <v>2843.1210000000001</v>
      </c>
      <c r="P385" s="399">
        <v>2843.1210000000001</v>
      </c>
      <c r="Q385" s="399">
        <v>2843.1210000000001</v>
      </c>
      <c r="R385" s="399"/>
      <c r="S385" s="399">
        <v>521.86</v>
      </c>
      <c r="T385" s="399">
        <v>141.32</v>
      </c>
      <c r="U385" s="399"/>
      <c r="V385" s="399">
        <v>1885500.9847800001</v>
      </c>
      <c r="W385" s="399">
        <v>1885500.9847800001</v>
      </c>
      <c r="X385" s="399">
        <v>1473674.90793</v>
      </c>
      <c r="Y385" s="399">
        <v>0</v>
      </c>
      <c r="Z385" s="399">
        <v>172512.17373123017</v>
      </c>
      <c r="AA385" s="399">
        <v>0</v>
      </c>
      <c r="AB385" s="399">
        <v>0</v>
      </c>
      <c r="AC385" s="399">
        <v>0</v>
      </c>
      <c r="AD385" s="399">
        <v>305788.47373078013</v>
      </c>
      <c r="AE385" s="399">
        <v>923874.42882758565</v>
      </c>
      <c r="AF385" s="399">
        <v>401786.81767147011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26674.139469202422</v>
      </c>
      <c r="AM385" s="399"/>
      <c r="AN385" s="399">
        <v>3943.0297919902578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50905.791537922953</v>
      </c>
      <c r="BH385" s="399">
        <v>0</v>
      </c>
      <c r="BI385" s="399">
        <v>11792.3</v>
      </c>
      <c r="BJ385" s="399">
        <v>54557.96</v>
      </c>
      <c r="BK385" s="399">
        <v>398317.14</v>
      </c>
      <c r="BL385" s="399">
        <v>5557</v>
      </c>
      <c r="BM385" s="399"/>
      <c r="BN385" s="399"/>
      <c r="BO385" s="399"/>
      <c r="BP385" s="399"/>
      <c r="BQ385" s="399"/>
      <c r="BR385" s="399">
        <v>176842.12620000003</v>
      </c>
      <c r="BS385" s="399"/>
      <c r="BT385" s="399"/>
      <c r="BU385" s="399"/>
      <c r="BV385" s="399">
        <v>452692.60920939303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1296832.3255999999</v>
      </c>
      <c r="CJ385" s="399">
        <v>-362384.68879000028</v>
      </c>
      <c r="CK385" s="399"/>
      <c r="CL385" s="399"/>
      <c r="CM385" s="399"/>
      <c r="CN385" s="399"/>
      <c r="CO385" s="399">
        <v>-411826.07685000007</v>
      </c>
      <c r="CP385" s="399">
        <v>0</v>
      </c>
      <c r="CQ385" s="399">
        <v>30</v>
      </c>
      <c r="CR385" s="399">
        <v>-12668.200456599589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-1456.3797275853576</v>
      </c>
      <c r="DA385" s="399">
        <v>0</v>
      </c>
      <c r="DB385" s="399">
        <v>0</v>
      </c>
      <c r="DC385" s="399">
        <v>0</v>
      </c>
      <c r="DD385" s="399">
        <v>0</v>
      </c>
      <c r="DE385" s="399">
        <v>0</v>
      </c>
      <c r="DF385" s="399">
        <v>0</v>
      </c>
      <c r="DG385" s="399">
        <v>0</v>
      </c>
      <c r="DH385" s="399">
        <v>0</v>
      </c>
      <c r="DI385" s="399">
        <v>-9719.9674934041686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-1332.8588005111633</v>
      </c>
      <c r="DP385" s="399">
        <v>-158.99443509905541</v>
      </c>
      <c r="DQ385" s="399">
        <v>0</v>
      </c>
      <c r="DR385" s="399">
        <v>0</v>
      </c>
      <c r="DS385" s="399"/>
      <c r="DT385" s="399"/>
      <c r="DU385" s="399"/>
      <c r="DV385" s="399">
        <v>923874.42882758565</v>
      </c>
      <c r="DW385" s="399">
        <v>0</v>
      </c>
      <c r="DX385" s="399">
        <v>0</v>
      </c>
      <c r="DY385" s="399">
        <v>-411826.07685000007</v>
      </c>
      <c r="DZ385" s="399">
        <v>0</v>
      </c>
      <c r="EA385" s="399">
        <v>0</v>
      </c>
      <c r="EB385" s="399">
        <v>0</v>
      </c>
      <c r="EC385" s="399">
        <v>-399131.66174835479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218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2360</v>
      </c>
      <c r="C386" s="399" t="s">
        <v>2328</v>
      </c>
      <c r="D386" s="399" t="s">
        <v>2335</v>
      </c>
      <c r="E386" s="399" t="s">
        <v>894</v>
      </c>
      <c r="F386" s="399" t="s">
        <v>1239</v>
      </c>
      <c r="G386" s="399" t="s">
        <v>1239</v>
      </c>
      <c r="H386" s="399" t="s">
        <v>1239</v>
      </c>
      <c r="I386" s="399" t="s">
        <v>1239</v>
      </c>
      <c r="J386" s="399" t="s">
        <v>2329</v>
      </c>
      <c r="K386" s="789">
        <v>44652</v>
      </c>
      <c r="L386" s="399">
        <v>0</v>
      </c>
      <c r="M386" s="399">
        <v>0</v>
      </c>
      <c r="N386" s="399">
        <v>-0.64100000000000001</v>
      </c>
      <c r="O386" s="399">
        <v>-0.64100000000000001</v>
      </c>
      <c r="P386" s="399">
        <v>-0.64100000000000001</v>
      </c>
      <c r="Q386" s="399">
        <v>-0.64100000000000001</v>
      </c>
      <c r="R386" s="399"/>
      <c r="S386" s="399">
        <v>521.86</v>
      </c>
      <c r="T386" s="399">
        <v>141.32</v>
      </c>
      <c r="U386" s="399"/>
      <c r="V386" s="399">
        <v>-425.09838000000002</v>
      </c>
      <c r="W386" s="399">
        <v>-425.09838000000002</v>
      </c>
      <c r="X386" s="399">
        <v>-332.24952999999999</v>
      </c>
      <c r="Y386" s="399">
        <v>0</v>
      </c>
      <c r="Z386" s="399">
        <v>-38.893984238348821</v>
      </c>
      <c r="AA386" s="399">
        <v>0</v>
      </c>
      <c r="AB386" s="399">
        <v>0</v>
      </c>
      <c r="AC386" s="399">
        <v>0</v>
      </c>
      <c r="AD386" s="399">
        <v>-68.941987225105819</v>
      </c>
      <c r="AE386" s="399">
        <v>-208.29345950400366</v>
      </c>
      <c r="AF386" s="399">
        <v>-90.585434150503033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-6.0138570956912325</v>
      </c>
      <c r="AM386" s="399"/>
      <c r="AN386" s="399">
        <v>-0.88898154410795571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-11.477039625048885</v>
      </c>
      <c r="BH386" s="399">
        <v>0</v>
      </c>
      <c r="BI386" s="399">
        <v>-2.86</v>
      </c>
      <c r="BJ386" s="399">
        <v>-13.18</v>
      </c>
      <c r="BK386" s="399">
        <v>-123.08</v>
      </c>
      <c r="BL386" s="399">
        <v>0</v>
      </c>
      <c r="BM386" s="399"/>
      <c r="BN386" s="399"/>
      <c r="BO386" s="399"/>
      <c r="BP386" s="399"/>
      <c r="BQ386" s="399"/>
      <c r="BR386" s="399">
        <v>-39.870199999999997</v>
      </c>
      <c r="BS386" s="399"/>
      <c r="BT386" s="399"/>
      <c r="BU386" s="399"/>
      <c r="BV386" s="399">
        <v>-102.06247377555192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-291.92320000000001</v>
      </c>
      <c r="CJ386" s="399">
        <v>82.127990000000068</v>
      </c>
      <c r="CK386" s="399"/>
      <c r="CL386" s="399"/>
      <c r="CM386" s="399"/>
      <c r="CN386" s="399"/>
      <c r="CO386" s="399">
        <v>92.848850000000013</v>
      </c>
      <c r="CP386" s="399">
        <v>0</v>
      </c>
      <c r="CQ386" s="399">
        <v>30</v>
      </c>
      <c r="CR386" s="399">
        <v>2.8561276472863426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0.32835021984018908</v>
      </c>
      <c r="DA386" s="399">
        <v>0</v>
      </c>
      <c r="DB386" s="399">
        <v>0</v>
      </c>
      <c r="DC386" s="399">
        <v>0</v>
      </c>
      <c r="DD386" s="399">
        <v>0</v>
      </c>
      <c r="DE386" s="399">
        <v>0</v>
      </c>
      <c r="DF386" s="399">
        <v>0</v>
      </c>
      <c r="DG386" s="399">
        <v>0</v>
      </c>
      <c r="DH386" s="399">
        <v>0</v>
      </c>
      <c r="DI386" s="399">
        <v>2.1914294760131838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0.3005016287128317</v>
      </c>
      <c r="DP386" s="399">
        <v>3.5846322720170631E-2</v>
      </c>
      <c r="DQ386" s="399">
        <v>0</v>
      </c>
      <c r="DR386" s="399">
        <v>0</v>
      </c>
      <c r="DS386" s="399"/>
      <c r="DT386" s="399"/>
      <c r="DU386" s="399"/>
      <c r="DV386" s="399">
        <v>-208.29345950400366</v>
      </c>
      <c r="DW386" s="399">
        <v>0</v>
      </c>
      <c r="DX386" s="399">
        <v>0</v>
      </c>
      <c r="DY386" s="399">
        <v>92.848850000000027</v>
      </c>
      <c r="DZ386" s="399">
        <v>0</v>
      </c>
      <c r="EA386" s="399">
        <v>0</v>
      </c>
      <c r="EB386" s="399">
        <v>0</v>
      </c>
      <c r="EC386" s="399">
        <v>89.986812091604776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218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2361</v>
      </c>
      <c r="C387" s="399" t="s">
        <v>2328</v>
      </c>
      <c r="D387" s="399" t="s">
        <v>2335</v>
      </c>
      <c r="E387" s="399" t="s">
        <v>894</v>
      </c>
      <c r="F387" s="399" t="s">
        <v>1239</v>
      </c>
      <c r="G387" s="399" t="s">
        <v>1239</v>
      </c>
      <c r="H387" s="399" t="s">
        <v>1239</v>
      </c>
      <c r="I387" s="399" t="s">
        <v>1239</v>
      </c>
      <c r="J387" s="399" t="s">
        <v>2329</v>
      </c>
      <c r="K387" s="789">
        <v>44652</v>
      </c>
      <c r="L387" s="399">
        <v>0</v>
      </c>
      <c r="M387" s="399">
        <v>0</v>
      </c>
      <c r="N387" s="399">
        <v>291.96100000000001</v>
      </c>
      <c r="O387" s="399">
        <v>291.96100000000001</v>
      </c>
      <c r="P387" s="399">
        <v>291.96100000000001</v>
      </c>
      <c r="Q387" s="399">
        <v>291.96100000000001</v>
      </c>
      <c r="R387" s="399"/>
      <c r="S387" s="399">
        <v>521.86</v>
      </c>
      <c r="T387" s="399">
        <v>141.32</v>
      </c>
      <c r="U387" s="399"/>
      <c r="V387" s="399">
        <v>193622.69598000002</v>
      </c>
      <c r="W387" s="399">
        <v>193622.69598000002</v>
      </c>
      <c r="X387" s="399">
        <v>151332.14513000002</v>
      </c>
      <c r="Y387" s="399">
        <v>0</v>
      </c>
      <c r="Z387" s="399">
        <v>17715.330003451731</v>
      </c>
      <c r="AA387" s="399">
        <v>0</v>
      </c>
      <c r="AB387" s="399">
        <v>0</v>
      </c>
      <c r="AC387" s="399">
        <v>0</v>
      </c>
      <c r="AD387" s="399">
        <v>31401.51565090346</v>
      </c>
      <c r="AE387" s="399">
        <v>94872.95901754823</v>
      </c>
      <c r="AF387" s="399">
        <v>41259.616131068673</v>
      </c>
      <c r="AG387" s="399">
        <v>0</v>
      </c>
      <c r="AH387" s="399">
        <v>0</v>
      </c>
      <c r="AI387" s="399">
        <v>0</v>
      </c>
      <c r="AJ387" s="399">
        <v>0</v>
      </c>
      <c r="AK387" s="399">
        <v>0</v>
      </c>
      <c r="AL387" s="399">
        <v>2739.175868198296</v>
      </c>
      <c r="AM387" s="399"/>
      <c r="AN387" s="399">
        <v>404.91098377426346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5227.5319281886077</v>
      </c>
      <c r="BH387" s="399">
        <v>0</v>
      </c>
      <c r="BI387" s="399">
        <v>1282.43</v>
      </c>
      <c r="BJ387" s="399">
        <v>5931.18</v>
      </c>
      <c r="BK387" s="399">
        <v>118170.73</v>
      </c>
      <c r="BL387" s="399">
        <v>607</v>
      </c>
      <c r="BM387" s="399"/>
      <c r="BN387" s="399"/>
      <c r="BO387" s="399"/>
      <c r="BP387" s="399"/>
      <c r="BQ387" s="399"/>
      <c r="BR387" s="399">
        <v>18159.974200000001</v>
      </c>
      <c r="BS387" s="399"/>
      <c r="BT387" s="399"/>
      <c r="BU387" s="399"/>
      <c r="BV387" s="399">
        <v>46487.148059257277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133171.71479999999</v>
      </c>
      <c r="CJ387" s="399">
        <v>-37213.835190000071</v>
      </c>
      <c r="CK387" s="399"/>
      <c r="CL387" s="399"/>
      <c r="CM387" s="399"/>
      <c r="CN387" s="399"/>
      <c r="CO387" s="399">
        <v>-42290.550850000007</v>
      </c>
      <c r="CP387" s="399">
        <v>0</v>
      </c>
      <c r="CQ387" s="399">
        <v>30</v>
      </c>
      <c r="CR387" s="399">
        <v>-1300.9015351472044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-149.55609755812475</v>
      </c>
      <c r="DA387" s="399">
        <v>0</v>
      </c>
      <c r="DB387" s="399">
        <v>0</v>
      </c>
      <c r="DC387" s="399">
        <v>0</v>
      </c>
      <c r="DD387" s="399">
        <v>0</v>
      </c>
      <c r="DE387" s="399">
        <v>0</v>
      </c>
      <c r="DF387" s="399">
        <v>0</v>
      </c>
      <c r="DG387" s="399">
        <v>0</v>
      </c>
      <c r="DH387" s="399">
        <v>0</v>
      </c>
      <c r="DI387" s="399">
        <v>-998.14655420637064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-136.87169425994807</v>
      </c>
      <c r="DP387" s="399">
        <v>-16.327189122782784</v>
      </c>
      <c r="DQ387" s="399">
        <v>0</v>
      </c>
      <c r="DR387" s="399">
        <v>0</v>
      </c>
      <c r="DS387" s="399"/>
      <c r="DT387" s="399"/>
      <c r="DU387" s="399"/>
      <c r="DV387" s="399">
        <v>94872.95901754823</v>
      </c>
      <c r="DW387" s="399">
        <v>0</v>
      </c>
      <c r="DX387" s="399">
        <v>0</v>
      </c>
      <c r="DY387" s="399">
        <v>-42290.55085</v>
      </c>
      <c r="DZ387" s="399">
        <v>0</v>
      </c>
      <c r="EA387" s="399">
        <v>0</v>
      </c>
      <c r="EB387" s="399">
        <v>0</v>
      </c>
      <c r="EC387" s="399">
        <v>-40986.95732461314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218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2361</v>
      </c>
      <c r="C388" s="399" t="s">
        <v>2328</v>
      </c>
      <c r="D388" s="399" t="s">
        <v>2335</v>
      </c>
      <c r="E388" s="399" t="s">
        <v>894</v>
      </c>
      <c r="F388" s="399" t="s">
        <v>1239</v>
      </c>
      <c r="G388" s="399" t="s">
        <v>1239</v>
      </c>
      <c r="H388" s="399" t="s">
        <v>1239</v>
      </c>
      <c r="I388" s="399" t="s">
        <v>1239</v>
      </c>
      <c r="J388" s="399" t="s">
        <v>2329</v>
      </c>
      <c r="K388" s="789">
        <v>44652</v>
      </c>
      <c r="L388" s="399">
        <v>0</v>
      </c>
      <c r="M388" s="399">
        <v>0</v>
      </c>
      <c r="N388" s="399">
        <v>-4.2</v>
      </c>
      <c r="O388" s="399">
        <v>-4.2</v>
      </c>
      <c r="P388" s="399">
        <v>-4.2</v>
      </c>
      <c r="Q388" s="399">
        <v>-4.2</v>
      </c>
      <c r="R388" s="399"/>
      <c r="S388" s="399">
        <v>521.86</v>
      </c>
      <c r="T388" s="399">
        <v>141.32</v>
      </c>
      <c r="U388" s="399"/>
      <c r="V388" s="399">
        <v>-2785.3560000000002</v>
      </c>
      <c r="W388" s="399">
        <v>-2785.3560000000002</v>
      </c>
      <c r="X388" s="399">
        <v>-2176.9859999999999</v>
      </c>
      <c r="Y388" s="399">
        <v>0</v>
      </c>
      <c r="Z388" s="399">
        <v>-254.84357847280037</v>
      </c>
      <c r="AA388" s="399">
        <v>0</v>
      </c>
      <c r="AB388" s="399">
        <v>0</v>
      </c>
      <c r="AC388" s="399">
        <v>0</v>
      </c>
      <c r="AD388" s="399">
        <v>-451.72596933766681</v>
      </c>
      <c r="AE388" s="399">
        <v>-1364.7933384037681</v>
      </c>
      <c r="AF388" s="399">
        <v>-593.53950613434131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-39.404367865683582</v>
      </c>
      <c r="AM388" s="399"/>
      <c r="AN388" s="399">
        <v>-5.8248400705981496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-75.200571646186148</v>
      </c>
      <c r="BH388" s="399">
        <v>0</v>
      </c>
      <c r="BI388" s="399">
        <v>-18.71</v>
      </c>
      <c r="BJ388" s="399">
        <v>-86.35</v>
      </c>
      <c r="BK388" s="399">
        <v>-959.48</v>
      </c>
      <c r="BL388" s="399">
        <v>2</v>
      </c>
      <c r="BM388" s="399"/>
      <c r="BN388" s="399"/>
      <c r="BO388" s="399"/>
      <c r="BP388" s="399"/>
      <c r="BQ388" s="399"/>
      <c r="BR388" s="399">
        <v>-261.24</v>
      </c>
      <c r="BS388" s="399"/>
      <c r="BT388" s="399"/>
      <c r="BU388" s="399"/>
      <c r="BV388" s="399">
        <v>-668.74007778052749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-1915.7460000000001</v>
      </c>
      <c r="CJ388" s="399">
        <v>535.30199999999968</v>
      </c>
      <c r="CK388" s="399"/>
      <c r="CL388" s="399"/>
      <c r="CM388" s="399"/>
      <c r="CN388" s="399"/>
      <c r="CO388" s="399">
        <v>608.37000000000012</v>
      </c>
      <c r="CP388" s="399">
        <v>0</v>
      </c>
      <c r="CQ388" s="399">
        <v>30</v>
      </c>
      <c r="CR388" s="399">
        <v>18.714096908896408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2.1514366978607882</v>
      </c>
      <c r="DA388" s="399">
        <v>0</v>
      </c>
      <c r="DB388" s="399">
        <v>0</v>
      </c>
      <c r="DC388" s="399">
        <v>0</v>
      </c>
      <c r="DD388" s="399">
        <v>0</v>
      </c>
      <c r="DE388" s="399">
        <v>0</v>
      </c>
      <c r="DF388" s="399">
        <v>0</v>
      </c>
      <c r="DG388" s="399">
        <v>0</v>
      </c>
      <c r="DH388" s="399">
        <v>0</v>
      </c>
      <c r="DI388" s="399">
        <v>14.358820279649564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1.9689654299436725</v>
      </c>
      <c r="DP388" s="399">
        <v>0.2348745014426159</v>
      </c>
      <c r="DQ388" s="399">
        <v>0</v>
      </c>
      <c r="DR388" s="399">
        <v>0</v>
      </c>
      <c r="DS388" s="399"/>
      <c r="DT388" s="399"/>
      <c r="DU388" s="399"/>
      <c r="DV388" s="399">
        <v>-1364.7933384037681</v>
      </c>
      <c r="DW388" s="399">
        <v>0</v>
      </c>
      <c r="DX388" s="399">
        <v>0</v>
      </c>
      <c r="DY388" s="399">
        <v>608.37000000000035</v>
      </c>
      <c r="DZ388" s="399">
        <v>0</v>
      </c>
      <c r="EA388" s="399">
        <v>0</v>
      </c>
      <c r="EB388" s="399">
        <v>0</v>
      </c>
      <c r="EC388" s="399">
        <v>589.61717751129481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218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956</v>
      </c>
      <c r="C389" s="399" t="s">
        <v>2334</v>
      </c>
      <c r="D389" s="399" t="s">
        <v>533</v>
      </c>
      <c r="E389" s="399" t="s">
        <v>894</v>
      </c>
      <c r="F389" s="399" t="s">
        <v>1239</v>
      </c>
      <c r="G389" s="399" t="s">
        <v>1239</v>
      </c>
      <c r="H389" s="399" t="s">
        <v>1239</v>
      </c>
      <c r="I389" s="399" t="s">
        <v>893</v>
      </c>
      <c r="J389" s="399" t="s">
        <v>2329</v>
      </c>
      <c r="K389" s="789">
        <v>44652</v>
      </c>
      <c r="L389" s="399">
        <v>0</v>
      </c>
      <c r="M389" s="399">
        <v>0</v>
      </c>
      <c r="N389" s="399">
        <v>1.222</v>
      </c>
      <c r="O389" s="399">
        <v>1.1731199999999999</v>
      </c>
      <c r="P389" s="399">
        <v>1.222</v>
      </c>
      <c r="Q389" s="399">
        <v>1.1731199999999999</v>
      </c>
      <c r="R389" s="399"/>
      <c r="S389" s="399">
        <v>2741.05</v>
      </c>
      <c r="T389" s="399">
        <v>141.32</v>
      </c>
      <c r="U389" s="399"/>
      <c r="V389" s="399">
        <v>3522.2561400000004</v>
      </c>
      <c r="W389" s="399">
        <v>3522.2561400000004</v>
      </c>
      <c r="X389" s="399">
        <v>2522.0613600000001</v>
      </c>
      <c r="Y389" s="399">
        <v>0</v>
      </c>
      <c r="Z389" s="399">
        <v>64.508190956565002</v>
      </c>
      <c r="AA389" s="399">
        <v>0</v>
      </c>
      <c r="AB389" s="399">
        <v>0</v>
      </c>
      <c r="AC389" s="399">
        <v>0</v>
      </c>
      <c r="AD389" s="399">
        <v>969.73212749443303</v>
      </c>
      <c r="AE389" s="399">
        <v>2294.6822759812362</v>
      </c>
      <c r="AF389" s="399">
        <v>172.6917324990869</v>
      </c>
      <c r="AG389" s="399">
        <v>0</v>
      </c>
      <c r="AH389" s="399">
        <v>0</v>
      </c>
      <c r="AI389" s="399">
        <v>0</v>
      </c>
      <c r="AJ389" s="399">
        <v>0</v>
      </c>
      <c r="AK389" s="399">
        <v>0</v>
      </c>
      <c r="AL389" s="399">
        <v>11.464794650444126</v>
      </c>
      <c r="AM389" s="399"/>
      <c r="AN389" s="399">
        <v>0.73410722799341321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8.4476351951776856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>
        <v>100.88245440000007</v>
      </c>
      <c r="BS389" s="399"/>
      <c r="BT389" s="399"/>
      <c r="BU389" s="399"/>
      <c r="BV389" s="399">
        <v>181.13936769426459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2414.7395999999999</v>
      </c>
      <c r="CJ389" s="399">
        <v>-966.65629440000066</v>
      </c>
      <c r="CK389" s="399"/>
      <c r="CL389" s="399"/>
      <c r="CM389" s="399"/>
      <c r="CN389" s="399"/>
      <c r="CO389" s="399">
        <v>-1000.1947800000003</v>
      </c>
      <c r="CP389" s="399">
        <v>0</v>
      </c>
      <c r="CQ389" s="399">
        <v>30</v>
      </c>
      <c r="CR389" s="399">
        <v>-8.8556504441728521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-4.6185462599069069</v>
      </c>
      <c r="DA389" s="399">
        <v>0</v>
      </c>
      <c r="DB389" s="399">
        <v>0</v>
      </c>
      <c r="DC389" s="399">
        <v>0</v>
      </c>
      <c r="DD389" s="399">
        <v>0</v>
      </c>
      <c r="DE389" s="399">
        <v>0</v>
      </c>
      <c r="DF389" s="399">
        <v>0</v>
      </c>
      <c r="DG389" s="399">
        <v>0</v>
      </c>
      <c r="DH389" s="399">
        <v>0</v>
      </c>
      <c r="DI389" s="399">
        <v>-3.6346276647874021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-0.57287517985503911</v>
      </c>
      <c r="DP389" s="399">
        <v>-2.960133962316458E-2</v>
      </c>
      <c r="DQ389" s="399">
        <v>0</v>
      </c>
      <c r="DR389" s="399">
        <v>0</v>
      </c>
      <c r="DS389" s="399"/>
      <c r="DT389" s="399"/>
      <c r="DU389" s="399"/>
      <c r="DV389" s="399">
        <v>2294.6822759812362</v>
      </c>
      <c r="DW389" s="399">
        <v>0</v>
      </c>
      <c r="DX389" s="399">
        <v>0</v>
      </c>
      <c r="DY389" s="399">
        <v>-1000.1947800000003</v>
      </c>
      <c r="DZ389" s="399">
        <v>0</v>
      </c>
      <c r="EA389" s="399">
        <v>0</v>
      </c>
      <c r="EB389" s="399">
        <v>0</v>
      </c>
      <c r="EC389" s="399">
        <v>-991.34722362557591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218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2361</v>
      </c>
      <c r="C390" s="399" t="s">
        <v>2334</v>
      </c>
      <c r="D390" s="399" t="s">
        <v>533</v>
      </c>
      <c r="E390" s="399" t="s">
        <v>894</v>
      </c>
      <c r="F390" s="399" t="s">
        <v>1239</v>
      </c>
      <c r="G390" s="399" t="s">
        <v>1239</v>
      </c>
      <c r="H390" s="399" t="s">
        <v>1239</v>
      </c>
      <c r="I390" s="399" t="s">
        <v>893</v>
      </c>
      <c r="J390" s="399" t="s">
        <v>2329</v>
      </c>
      <c r="K390" s="789">
        <v>44652</v>
      </c>
      <c r="L390" s="399">
        <v>0</v>
      </c>
      <c r="M390" s="399">
        <v>0</v>
      </c>
      <c r="N390" s="399">
        <v>3.1920000000000002</v>
      </c>
      <c r="O390" s="399">
        <v>3.0643199999999999</v>
      </c>
      <c r="P390" s="399">
        <v>3.1920000000000002</v>
      </c>
      <c r="Q390" s="399">
        <v>3.0643199999999999</v>
      </c>
      <c r="R390" s="399"/>
      <c r="S390" s="399">
        <v>2741.05</v>
      </c>
      <c r="T390" s="399">
        <v>141.32</v>
      </c>
      <c r="U390" s="399"/>
      <c r="V390" s="399">
        <v>9200.5250400000023</v>
      </c>
      <c r="W390" s="399">
        <v>9200.5250400000023</v>
      </c>
      <c r="X390" s="399">
        <v>6587.9049599999998</v>
      </c>
      <c r="Y390" s="399">
        <v>0</v>
      </c>
      <c r="Z390" s="399">
        <v>168.50257408621565</v>
      </c>
      <c r="AA390" s="399">
        <v>0</v>
      </c>
      <c r="AB390" s="399">
        <v>0</v>
      </c>
      <c r="AC390" s="399">
        <v>0</v>
      </c>
      <c r="AD390" s="399">
        <v>2533.0482413766208</v>
      </c>
      <c r="AE390" s="399">
        <v>5993.9654868511507</v>
      </c>
      <c r="AF390" s="399">
        <v>451.09002466209938</v>
      </c>
      <c r="AG390" s="399">
        <v>0</v>
      </c>
      <c r="AH390" s="399">
        <v>0</v>
      </c>
      <c r="AI390" s="399">
        <v>0</v>
      </c>
      <c r="AJ390" s="399">
        <v>0</v>
      </c>
      <c r="AK390" s="399">
        <v>0</v>
      </c>
      <c r="AL390" s="399">
        <v>29.947319577919522</v>
      </c>
      <c r="AM390" s="399"/>
      <c r="AN390" s="399">
        <v>1.9175697804868863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22.066163292149898</v>
      </c>
      <c r="BH390" s="399">
        <v>0</v>
      </c>
      <c r="BI390" s="399">
        <v>0</v>
      </c>
      <c r="BJ390" s="399">
        <v>0</v>
      </c>
      <c r="BK390" s="399">
        <v>0</v>
      </c>
      <c r="BL390" s="399">
        <v>0</v>
      </c>
      <c r="BM390" s="399"/>
      <c r="BN390" s="399"/>
      <c r="BO390" s="399"/>
      <c r="BP390" s="399"/>
      <c r="BQ390" s="399"/>
      <c r="BR390" s="399">
        <v>263.51619840000046</v>
      </c>
      <c r="BS390" s="399"/>
      <c r="BT390" s="399"/>
      <c r="BU390" s="399"/>
      <c r="BV390" s="399">
        <v>473.15618795424928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6315.4727999999996</v>
      </c>
      <c r="CJ390" s="399">
        <v>-2517.0612384000015</v>
      </c>
      <c r="CK390" s="399"/>
      <c r="CL390" s="399"/>
      <c r="CM390" s="399"/>
      <c r="CN390" s="399"/>
      <c r="CO390" s="399">
        <v>-2612.6200800000011</v>
      </c>
      <c r="CP390" s="399">
        <v>0</v>
      </c>
      <c r="CQ390" s="399">
        <v>30</v>
      </c>
      <c r="CR390" s="399">
        <v>-23.131944531750378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-12.064156842572174</v>
      </c>
      <c r="DA390" s="399">
        <v>0</v>
      </c>
      <c r="DB390" s="399">
        <v>0</v>
      </c>
      <c r="DC390" s="399">
        <v>0</v>
      </c>
      <c r="DD390" s="399">
        <v>0</v>
      </c>
      <c r="DE390" s="399">
        <v>0</v>
      </c>
      <c r="DF390" s="399">
        <v>0</v>
      </c>
      <c r="DG390" s="399">
        <v>0</v>
      </c>
      <c r="DH390" s="399">
        <v>0</v>
      </c>
      <c r="DI390" s="399">
        <v>-9.4940519689045857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-1.49641372675719</v>
      </c>
      <c r="DP390" s="399">
        <v>-7.7321993516482168E-2</v>
      </c>
      <c r="DQ390" s="399">
        <v>0</v>
      </c>
      <c r="DR390" s="399">
        <v>0</v>
      </c>
      <c r="DS390" s="399"/>
      <c r="DT390" s="399"/>
      <c r="DU390" s="399"/>
      <c r="DV390" s="399">
        <v>5993.9654868511507</v>
      </c>
      <c r="DW390" s="399">
        <v>0</v>
      </c>
      <c r="DX390" s="399">
        <v>0</v>
      </c>
      <c r="DY390" s="399">
        <v>-2612.6200800000015</v>
      </c>
      <c r="DZ390" s="399">
        <v>0</v>
      </c>
      <c r="EA390" s="399">
        <v>0</v>
      </c>
      <c r="EB390" s="399">
        <v>0</v>
      </c>
      <c r="EC390" s="399">
        <v>-2589.5092780792452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0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218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956</v>
      </c>
      <c r="C391" s="399" t="s">
        <v>2334</v>
      </c>
      <c r="D391" s="399" t="s">
        <v>533</v>
      </c>
      <c r="E391" s="399" t="s">
        <v>894</v>
      </c>
      <c r="F391" s="399" t="s">
        <v>1239</v>
      </c>
      <c r="G391" s="399" t="s">
        <v>1239</v>
      </c>
      <c r="H391" s="399" t="s">
        <v>1239</v>
      </c>
      <c r="I391" s="399" t="s">
        <v>2326</v>
      </c>
      <c r="J391" s="399" t="s">
        <v>2329</v>
      </c>
      <c r="K391" s="789">
        <v>44652</v>
      </c>
      <c r="L391" s="399">
        <v>0</v>
      </c>
      <c r="M391" s="399">
        <v>0</v>
      </c>
      <c r="N391" s="399">
        <v>13.742000000000001</v>
      </c>
      <c r="O391" s="399">
        <v>13.19232</v>
      </c>
      <c r="P391" s="399">
        <v>13.742000000000001</v>
      </c>
      <c r="Q391" s="399">
        <v>13.19232</v>
      </c>
      <c r="R391" s="399"/>
      <c r="S391" s="399">
        <v>69.680000000000007</v>
      </c>
      <c r="T391" s="399">
        <v>141.32</v>
      </c>
      <c r="U391" s="399"/>
      <c r="V391" s="399">
        <v>2899.5620000000004</v>
      </c>
      <c r="W391" s="399">
        <v>2899.5620000000004</v>
      </c>
      <c r="X391" s="399">
        <v>2852.0146800000002</v>
      </c>
      <c r="Y391" s="399">
        <v>0</v>
      </c>
      <c r="Z391" s="399">
        <v>725.42680861302483</v>
      </c>
      <c r="AA391" s="399">
        <v>0</v>
      </c>
      <c r="AB391" s="399">
        <v>0</v>
      </c>
      <c r="AC391" s="399">
        <v>0</v>
      </c>
      <c r="AD391" s="399">
        <v>0</v>
      </c>
      <c r="AE391" s="399">
        <v>0</v>
      </c>
      <c r="AF391" s="399">
        <v>1942.0047364995519</v>
      </c>
      <c r="AG391" s="399">
        <v>0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128.92733885957708</v>
      </c>
      <c r="AM391" s="399"/>
      <c r="AN391" s="399">
        <v>8.2554022316575164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94.997874674412245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>
        <v>114.08058720000008</v>
      </c>
      <c r="BS391" s="399"/>
      <c r="BT391" s="399"/>
      <c r="BU391" s="399"/>
      <c r="BV391" s="399">
        <v>2037.0026111739642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2737.4525999999996</v>
      </c>
      <c r="CJ391" s="399">
        <v>-46.15692000000081</v>
      </c>
      <c r="CK391" s="399"/>
      <c r="CL391" s="399"/>
      <c r="CM391" s="399"/>
      <c r="CN391" s="399"/>
      <c r="CO391" s="399">
        <v>-47.547320000000113</v>
      </c>
      <c r="CP391" s="399">
        <v>0</v>
      </c>
      <c r="CQ391" s="399">
        <v>30</v>
      </c>
      <c r="CR391" s="399">
        <v>-47.648351636807092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0</v>
      </c>
      <c r="DA391" s="399">
        <v>0</v>
      </c>
      <c r="DB391" s="399">
        <v>0</v>
      </c>
      <c r="DC391" s="399">
        <v>0</v>
      </c>
      <c r="DD391" s="399">
        <v>0</v>
      </c>
      <c r="DE391" s="399">
        <v>0</v>
      </c>
      <c r="DF391" s="399">
        <v>0</v>
      </c>
      <c r="DG391" s="399">
        <v>0</v>
      </c>
      <c r="DH391" s="399">
        <v>0</v>
      </c>
      <c r="DI391" s="399">
        <v>-40.873202430039669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-6.4422673662585339</v>
      </c>
      <c r="DP391" s="399">
        <v>-0.33288184050861425</v>
      </c>
      <c r="DQ391" s="399">
        <v>0</v>
      </c>
      <c r="DR391" s="399">
        <v>0</v>
      </c>
      <c r="DS391" s="399"/>
      <c r="DT391" s="399"/>
      <c r="DU391" s="399"/>
      <c r="DV391" s="399">
        <v>0</v>
      </c>
      <c r="DW391" s="399">
        <v>0</v>
      </c>
      <c r="DX391" s="399">
        <v>0</v>
      </c>
      <c r="DY391" s="399">
        <v>-47.547320000000127</v>
      </c>
      <c r="DZ391" s="399">
        <v>0</v>
      </c>
      <c r="EA391" s="399">
        <v>0</v>
      </c>
      <c r="EB391" s="399">
        <v>0</v>
      </c>
      <c r="EC391" s="399">
        <v>0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218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2361</v>
      </c>
      <c r="C392" s="399" t="s">
        <v>2334</v>
      </c>
      <c r="D392" s="399" t="s">
        <v>533</v>
      </c>
      <c r="E392" s="399" t="s">
        <v>894</v>
      </c>
      <c r="F392" s="399" t="s">
        <v>1239</v>
      </c>
      <c r="G392" s="399" t="s">
        <v>1239</v>
      </c>
      <c r="H392" s="399" t="s">
        <v>1239</v>
      </c>
      <c r="I392" s="399" t="s">
        <v>2326</v>
      </c>
      <c r="J392" s="399" t="s">
        <v>2329</v>
      </c>
      <c r="K392" s="789">
        <v>44652</v>
      </c>
      <c r="L392" s="399">
        <v>0</v>
      </c>
      <c r="M392" s="399">
        <v>0</v>
      </c>
      <c r="N392" s="399">
        <v>43.215000000000003</v>
      </c>
      <c r="O392" s="399">
        <v>41.486400000000003</v>
      </c>
      <c r="P392" s="399">
        <v>43.215000000000003</v>
      </c>
      <c r="Q392" s="399">
        <v>41.486400000000003</v>
      </c>
      <c r="R392" s="399"/>
      <c r="S392" s="399">
        <v>69.680000000000007</v>
      </c>
      <c r="T392" s="399">
        <v>141.32</v>
      </c>
      <c r="U392" s="399"/>
      <c r="V392" s="399">
        <v>9118.3649999999998</v>
      </c>
      <c r="W392" s="399">
        <v>9118.3649999999998</v>
      </c>
      <c r="X392" s="399">
        <v>8968.8410999999996</v>
      </c>
      <c r="Y392" s="399">
        <v>0</v>
      </c>
      <c r="Z392" s="399">
        <v>2281.277800481143</v>
      </c>
      <c r="AA392" s="399">
        <v>0</v>
      </c>
      <c r="AB392" s="399">
        <v>0</v>
      </c>
      <c r="AC392" s="399">
        <v>0</v>
      </c>
      <c r="AD392" s="399">
        <v>0</v>
      </c>
      <c r="AE392" s="399">
        <v>0</v>
      </c>
      <c r="AF392" s="399">
        <v>6107.0975613322762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405.44279936083717</v>
      </c>
      <c r="AM392" s="399"/>
      <c r="AN392" s="399">
        <v>25.961083353302254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298.74349833028128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>
        <v>358.75364400000001</v>
      </c>
      <c r="BS392" s="399"/>
      <c r="BT392" s="399"/>
      <c r="BU392" s="399"/>
      <c r="BV392" s="399">
        <v>6405.8410596625572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8610.8346000000001</v>
      </c>
      <c r="CJ392" s="399">
        <v>-142.82580000000053</v>
      </c>
      <c r="CK392" s="399"/>
      <c r="CL392" s="399"/>
      <c r="CM392" s="399"/>
      <c r="CN392" s="399"/>
      <c r="CO392" s="399">
        <v>-149.52390000000037</v>
      </c>
      <c r="CP392" s="399">
        <v>0</v>
      </c>
      <c r="CQ392" s="399">
        <v>30</v>
      </c>
      <c r="CR392" s="399">
        <v>-149.84161810395926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0</v>
      </c>
      <c r="DA392" s="399">
        <v>0</v>
      </c>
      <c r="DB392" s="399">
        <v>0</v>
      </c>
      <c r="DC392" s="399">
        <v>0</v>
      </c>
      <c r="DD392" s="399">
        <v>0</v>
      </c>
      <c r="DE392" s="399">
        <v>0</v>
      </c>
      <c r="DF392" s="399">
        <v>0</v>
      </c>
      <c r="DG392" s="399">
        <v>0</v>
      </c>
      <c r="DH392" s="399">
        <v>0</v>
      </c>
      <c r="DI392" s="399">
        <v>-128.53554380833702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-20.259247870241836</v>
      </c>
      <c r="DP392" s="399">
        <v>-1.0468264253805692</v>
      </c>
      <c r="DQ392" s="399">
        <v>0</v>
      </c>
      <c r="DR392" s="399">
        <v>0</v>
      </c>
      <c r="DS392" s="399"/>
      <c r="DT392" s="399"/>
      <c r="DU392" s="399"/>
      <c r="DV392" s="399">
        <v>0</v>
      </c>
      <c r="DW392" s="399">
        <v>0</v>
      </c>
      <c r="DX392" s="399">
        <v>0</v>
      </c>
      <c r="DY392" s="399">
        <v>-149.52390000000014</v>
      </c>
      <c r="DZ392" s="399">
        <v>0</v>
      </c>
      <c r="EA392" s="399">
        <v>0</v>
      </c>
      <c r="EB392" s="399">
        <v>0</v>
      </c>
      <c r="EC392" s="399">
        <v>0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218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956</v>
      </c>
      <c r="C393" s="399" t="s">
        <v>2334</v>
      </c>
      <c r="D393" s="399" t="s">
        <v>533</v>
      </c>
      <c r="E393" s="399" t="s">
        <v>894</v>
      </c>
      <c r="F393" s="399" t="s">
        <v>1239</v>
      </c>
      <c r="G393" s="399" t="s">
        <v>1239</v>
      </c>
      <c r="H393" s="399" t="s">
        <v>1239</v>
      </c>
      <c r="I393" s="399" t="s">
        <v>1239</v>
      </c>
      <c r="J393" s="399" t="s">
        <v>2329</v>
      </c>
      <c r="K393" s="789">
        <v>44652</v>
      </c>
      <c r="L393" s="399">
        <v>90</v>
      </c>
      <c r="M393" s="399">
        <v>86.4</v>
      </c>
      <c r="N393" s="399">
        <v>0</v>
      </c>
      <c r="O393" s="399">
        <v>0</v>
      </c>
      <c r="P393" s="399">
        <v>0</v>
      </c>
      <c r="Q393" s="399">
        <v>0</v>
      </c>
      <c r="R393" s="399">
        <v>35.15</v>
      </c>
      <c r="S393" s="399"/>
      <c r="T393" s="399"/>
      <c r="U393" s="399">
        <v>3163.5</v>
      </c>
      <c r="V393" s="399"/>
      <c r="W393" s="399">
        <v>3163.5</v>
      </c>
      <c r="X393" s="399">
        <v>2309.4</v>
      </c>
      <c r="Y393" s="399">
        <v>0</v>
      </c>
      <c r="Z393" s="399">
        <v>0</v>
      </c>
      <c r="AA393" s="399">
        <v>0</v>
      </c>
      <c r="AB393" s="399">
        <v>0</v>
      </c>
      <c r="AC393" s="399">
        <v>0</v>
      </c>
      <c r="AD393" s="399">
        <v>1199.8235963272409</v>
      </c>
      <c r="AE393" s="399">
        <v>1963.6179499154971</v>
      </c>
      <c r="AF393" s="399"/>
      <c r="AG393" s="399"/>
      <c r="AH393" s="399"/>
      <c r="AI393" s="399">
        <v>0</v>
      </c>
      <c r="AJ393" s="399">
        <v>0</v>
      </c>
      <c r="AK393" s="399">
        <v>0</v>
      </c>
      <c r="AL393" s="399">
        <v>0</v>
      </c>
      <c r="AM393" s="399"/>
      <c r="AN393" s="399">
        <v>0</v>
      </c>
      <c r="AO393" s="399">
        <v>0</v>
      </c>
      <c r="AP393" s="399">
        <v>0</v>
      </c>
      <c r="AQ393" s="399">
        <v>0</v>
      </c>
      <c r="AR393" s="399">
        <v>0</v>
      </c>
      <c r="AS393" s="399"/>
      <c r="AT393" s="399"/>
      <c r="AU393" s="399">
        <v>0</v>
      </c>
      <c r="AV393" s="399">
        <v>0</v>
      </c>
      <c r="AW393" s="399">
        <v>0</v>
      </c>
      <c r="AX393" s="399"/>
      <c r="AY393" s="399"/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/>
      <c r="BG393" s="399">
        <v>0</v>
      </c>
      <c r="BH393" s="399">
        <v>0</v>
      </c>
      <c r="BI393" s="399">
        <v>59</v>
      </c>
      <c r="BJ393" s="399">
        <v>272.31</v>
      </c>
      <c r="BK393" s="399">
        <v>2927.86</v>
      </c>
      <c r="BL393" s="399">
        <v>1</v>
      </c>
      <c r="BM393" s="399"/>
      <c r="BN393" s="399"/>
      <c r="BO393" s="399"/>
      <c r="BP393" s="399"/>
      <c r="BQ393" s="399"/>
      <c r="BR393" s="399">
        <v>92.375999999999848</v>
      </c>
      <c r="BS393" s="399"/>
      <c r="BT393" s="399"/>
      <c r="BU393" s="399"/>
      <c r="BV393" s="399">
        <v>0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2217.0240000000003</v>
      </c>
      <c r="CJ393" s="399">
        <v>-819.96600000000035</v>
      </c>
      <c r="CK393" s="399"/>
      <c r="CL393" s="399"/>
      <c r="CM393" s="399"/>
      <c r="CN393" s="399"/>
      <c r="CO393" s="399">
        <v>-854.09999999999991</v>
      </c>
      <c r="CP393" s="399">
        <v>0</v>
      </c>
      <c r="CQ393" s="399">
        <v>30</v>
      </c>
      <c r="CR393" s="399">
        <v>-5.7144036236848024</v>
      </c>
      <c r="CS393" s="399">
        <v>0</v>
      </c>
      <c r="CT393" s="399">
        <v>0</v>
      </c>
      <c r="CU393" s="399">
        <v>0</v>
      </c>
      <c r="CV393" s="399">
        <v>0</v>
      </c>
      <c r="CW393" s="399"/>
      <c r="CX393" s="399"/>
      <c r="CY393" s="399"/>
      <c r="CZ393" s="399">
        <v>-5.7144036236848024</v>
      </c>
      <c r="DA393" s="399">
        <v>0</v>
      </c>
      <c r="DB393" s="399">
        <v>0</v>
      </c>
      <c r="DC393" s="399"/>
      <c r="DD393" s="399"/>
      <c r="DE393" s="399">
        <v>0</v>
      </c>
      <c r="DF393" s="399">
        <v>0</v>
      </c>
      <c r="DG393" s="399">
        <v>0</v>
      </c>
      <c r="DH393" s="399">
        <v>0</v>
      </c>
      <c r="DI393" s="399">
        <v>0</v>
      </c>
      <c r="DJ393" s="399"/>
      <c r="DK393" s="399">
        <v>0</v>
      </c>
      <c r="DL393" s="399">
        <v>0</v>
      </c>
      <c r="DM393" s="399"/>
      <c r="DN393" s="399">
        <v>0</v>
      </c>
      <c r="DO393" s="399">
        <v>0</v>
      </c>
      <c r="DP393" s="399">
        <v>0</v>
      </c>
      <c r="DQ393" s="399">
        <v>0</v>
      </c>
      <c r="DR393" s="399">
        <v>0</v>
      </c>
      <c r="DS393" s="399"/>
      <c r="DT393" s="399"/>
      <c r="DU393" s="399">
        <v>1963.6179499154971</v>
      </c>
      <c r="DV393" s="399"/>
      <c r="DW393" s="399">
        <v>0</v>
      </c>
      <c r="DX393" s="399">
        <v>0</v>
      </c>
      <c r="DY393" s="399">
        <v>-854.09999999999991</v>
      </c>
      <c r="DZ393" s="399"/>
      <c r="EA393" s="399">
        <v>0</v>
      </c>
      <c r="EB393" s="399"/>
      <c r="EC393" s="399">
        <v>-848.32101737381709</v>
      </c>
      <c r="ED393" s="399"/>
      <c r="EE393" s="399">
        <v>0</v>
      </c>
      <c r="EF393" s="399">
        <v>0</v>
      </c>
      <c r="EG393" s="399"/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/>
      <c r="EN393" s="399"/>
      <c r="EO393" s="399">
        <v>0</v>
      </c>
      <c r="EP393" s="399">
        <v>0</v>
      </c>
      <c r="EQ393" s="399"/>
      <c r="ER393" s="399">
        <v>0</v>
      </c>
      <c r="ES393" s="399"/>
      <c r="ET393" s="399">
        <v>0</v>
      </c>
      <c r="EU393" s="399"/>
      <c r="EV393" s="399">
        <v>218</v>
      </c>
      <c r="EW393" s="399"/>
      <c r="EX393" s="399"/>
      <c r="EY393" s="399"/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2361</v>
      </c>
      <c r="C394" s="399" t="s">
        <v>2334</v>
      </c>
      <c r="D394" s="399" t="s">
        <v>533</v>
      </c>
      <c r="E394" s="399" t="s">
        <v>894</v>
      </c>
      <c r="F394" s="399" t="s">
        <v>1239</v>
      </c>
      <c r="G394" s="399" t="s">
        <v>1239</v>
      </c>
      <c r="H394" s="399" t="s">
        <v>1239</v>
      </c>
      <c r="I394" s="399" t="s">
        <v>1239</v>
      </c>
      <c r="J394" s="399" t="s">
        <v>2329</v>
      </c>
      <c r="K394" s="789">
        <v>44652</v>
      </c>
      <c r="L394" s="399">
        <v>270</v>
      </c>
      <c r="M394" s="399">
        <v>259.2</v>
      </c>
      <c r="N394" s="399">
        <v>0</v>
      </c>
      <c r="O394" s="399">
        <v>0</v>
      </c>
      <c r="P394" s="399">
        <v>0</v>
      </c>
      <c r="Q394" s="399">
        <v>0</v>
      </c>
      <c r="R394" s="399">
        <v>35.15</v>
      </c>
      <c r="S394" s="399"/>
      <c r="T394" s="399"/>
      <c r="U394" s="399">
        <v>9490.5</v>
      </c>
      <c r="V394" s="399"/>
      <c r="W394" s="399">
        <v>9490.5</v>
      </c>
      <c r="X394" s="399">
        <v>6928.2</v>
      </c>
      <c r="Y394" s="399">
        <v>0</v>
      </c>
      <c r="Z394" s="399">
        <v>0</v>
      </c>
      <c r="AA394" s="399">
        <v>0</v>
      </c>
      <c r="AB394" s="399">
        <v>0</v>
      </c>
      <c r="AC394" s="399">
        <v>0</v>
      </c>
      <c r="AD394" s="399">
        <v>3599.4707889817228</v>
      </c>
      <c r="AE394" s="399">
        <v>5890.8538497464906</v>
      </c>
      <c r="AF394" s="399"/>
      <c r="AG394" s="399"/>
      <c r="AH394" s="399"/>
      <c r="AI394" s="399">
        <v>0</v>
      </c>
      <c r="AJ394" s="399">
        <v>0</v>
      </c>
      <c r="AK394" s="399">
        <v>0</v>
      </c>
      <c r="AL394" s="399">
        <v>0</v>
      </c>
      <c r="AM394" s="399"/>
      <c r="AN394" s="399">
        <v>0</v>
      </c>
      <c r="AO394" s="399">
        <v>0</v>
      </c>
      <c r="AP394" s="399">
        <v>0</v>
      </c>
      <c r="AQ394" s="399">
        <v>0</v>
      </c>
      <c r="AR394" s="399">
        <v>0</v>
      </c>
      <c r="AS394" s="399"/>
      <c r="AT394" s="399"/>
      <c r="AU394" s="399">
        <v>0</v>
      </c>
      <c r="AV394" s="399">
        <v>0</v>
      </c>
      <c r="AW394" s="399">
        <v>0</v>
      </c>
      <c r="AX394" s="399"/>
      <c r="AY394" s="399"/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/>
      <c r="BG394" s="399">
        <v>0</v>
      </c>
      <c r="BH394" s="399">
        <v>0</v>
      </c>
      <c r="BI394" s="399">
        <v>192.92</v>
      </c>
      <c r="BJ394" s="399">
        <v>890.42</v>
      </c>
      <c r="BK394" s="399">
        <v>10070.51</v>
      </c>
      <c r="BL394" s="399">
        <v>2</v>
      </c>
      <c r="BM394" s="399"/>
      <c r="BN394" s="399"/>
      <c r="BO394" s="399"/>
      <c r="BP394" s="399"/>
      <c r="BQ394" s="399"/>
      <c r="BR394" s="399">
        <v>277.12800000000027</v>
      </c>
      <c r="BS394" s="399"/>
      <c r="BT394" s="399"/>
      <c r="BU394" s="399"/>
      <c r="BV394" s="399">
        <v>0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6651.0720000000001</v>
      </c>
      <c r="CJ394" s="399">
        <v>-2459.8379999999997</v>
      </c>
      <c r="CK394" s="399"/>
      <c r="CL394" s="399"/>
      <c r="CM394" s="399"/>
      <c r="CN394" s="399"/>
      <c r="CO394" s="399">
        <v>-2562.2999999999997</v>
      </c>
      <c r="CP394" s="399">
        <v>0</v>
      </c>
      <c r="CQ394" s="399">
        <v>30</v>
      </c>
      <c r="CR394" s="399">
        <v>-17.143210871054634</v>
      </c>
      <c r="CS394" s="399">
        <v>0</v>
      </c>
      <c r="CT394" s="399">
        <v>0</v>
      </c>
      <c r="CU394" s="399">
        <v>0</v>
      </c>
      <c r="CV394" s="399">
        <v>0</v>
      </c>
      <c r="CW394" s="399"/>
      <c r="CX394" s="399"/>
      <c r="CY394" s="399"/>
      <c r="CZ394" s="399">
        <v>-17.143210871054634</v>
      </c>
      <c r="DA394" s="399">
        <v>0</v>
      </c>
      <c r="DB394" s="399">
        <v>0</v>
      </c>
      <c r="DC394" s="399"/>
      <c r="DD394" s="399"/>
      <c r="DE394" s="399">
        <v>0</v>
      </c>
      <c r="DF394" s="399">
        <v>0</v>
      </c>
      <c r="DG394" s="399">
        <v>0</v>
      </c>
      <c r="DH394" s="399">
        <v>0</v>
      </c>
      <c r="DI394" s="399">
        <v>0</v>
      </c>
      <c r="DJ394" s="399"/>
      <c r="DK394" s="399">
        <v>0</v>
      </c>
      <c r="DL394" s="399">
        <v>0</v>
      </c>
      <c r="DM394" s="399"/>
      <c r="DN394" s="399">
        <v>0</v>
      </c>
      <c r="DO394" s="399">
        <v>0</v>
      </c>
      <c r="DP394" s="399">
        <v>0</v>
      </c>
      <c r="DQ394" s="399">
        <v>0</v>
      </c>
      <c r="DR394" s="399">
        <v>0</v>
      </c>
      <c r="DS394" s="399"/>
      <c r="DT394" s="399"/>
      <c r="DU394" s="399">
        <v>5890.8538497464906</v>
      </c>
      <c r="DV394" s="399"/>
      <c r="DW394" s="399">
        <v>0</v>
      </c>
      <c r="DX394" s="399">
        <v>0</v>
      </c>
      <c r="DY394" s="399">
        <v>-2562.3000000000002</v>
      </c>
      <c r="DZ394" s="399"/>
      <c r="EA394" s="399">
        <v>0</v>
      </c>
      <c r="EB394" s="399"/>
      <c r="EC394" s="399">
        <v>-2544.9630521214508</v>
      </c>
      <c r="ED394" s="399"/>
      <c r="EE394" s="399">
        <v>0</v>
      </c>
      <c r="EF394" s="399">
        <v>0</v>
      </c>
      <c r="EG394" s="399"/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/>
      <c r="EN394" s="399"/>
      <c r="EO394" s="399">
        <v>0</v>
      </c>
      <c r="EP394" s="399">
        <v>0</v>
      </c>
      <c r="EQ394" s="399"/>
      <c r="ER394" s="399">
        <v>0</v>
      </c>
      <c r="ES394" s="399"/>
      <c r="ET394" s="399">
        <v>0</v>
      </c>
      <c r="EU394" s="399"/>
      <c r="EV394" s="399">
        <v>218</v>
      </c>
      <c r="EW394" s="399"/>
      <c r="EX394" s="399"/>
      <c r="EY394" s="399"/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393</v>
      </c>
      <c r="B395" s="399" t="s">
        <v>956</v>
      </c>
      <c r="C395" s="399" t="s">
        <v>2328</v>
      </c>
      <c r="D395" s="399" t="s">
        <v>1826</v>
      </c>
      <c r="E395" s="399" t="s">
        <v>2336</v>
      </c>
      <c r="F395" s="399" t="s">
        <v>1239</v>
      </c>
      <c r="G395" s="399" t="s">
        <v>1239</v>
      </c>
      <c r="H395" s="399" t="s">
        <v>1239</v>
      </c>
      <c r="I395" s="399" t="s">
        <v>1239</v>
      </c>
      <c r="J395" s="399" t="s">
        <v>2329</v>
      </c>
      <c r="K395" s="789">
        <v>44652</v>
      </c>
      <c r="L395" s="399">
        <v>0</v>
      </c>
      <c r="M395" s="399">
        <v>0</v>
      </c>
      <c r="N395" s="399">
        <v>119.629</v>
      </c>
      <c r="O395" s="399">
        <v>119.629</v>
      </c>
      <c r="P395" s="399">
        <v>119.629</v>
      </c>
      <c r="Q395" s="399">
        <v>119.629</v>
      </c>
      <c r="R395" s="399"/>
      <c r="S395" s="399">
        <v>521.86</v>
      </c>
      <c r="T395" s="399">
        <v>141.32</v>
      </c>
      <c r="U395" s="399"/>
      <c r="V395" s="399">
        <v>79335.560220000014</v>
      </c>
      <c r="W395" s="399">
        <v>79335.560220000014</v>
      </c>
      <c r="X395" s="399">
        <v>62007.299570000003</v>
      </c>
      <c r="Y395" s="399">
        <v>0</v>
      </c>
      <c r="Z395" s="399">
        <v>7258.7339164577706</v>
      </c>
      <c r="AA395" s="399">
        <v>0</v>
      </c>
      <c r="AB395" s="399">
        <v>0</v>
      </c>
      <c r="AC395" s="399">
        <v>0</v>
      </c>
      <c r="AD395" s="399">
        <v>12866.553806165653</v>
      </c>
      <c r="AE395" s="399">
        <v>38873.538638072467</v>
      </c>
      <c r="AF395" s="399">
        <v>16905.842280796456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1122.358362715205</v>
      </c>
      <c r="AM395" s="399"/>
      <c r="AN395" s="399">
        <v>165.90947447752049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2141.9450441575241</v>
      </c>
      <c r="BH395" s="399">
        <v>0</v>
      </c>
      <c r="BI395" s="399">
        <v>516.39</v>
      </c>
      <c r="BJ395" s="399">
        <v>2386.9299999999998</v>
      </c>
      <c r="BK395" s="399">
        <v>21650.33</v>
      </c>
      <c r="BL395" s="399">
        <v>157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19047.787324953981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62007.817899999995</v>
      </c>
      <c r="CJ395" s="399">
        <v>-17327.772320000004</v>
      </c>
      <c r="CK395" s="399"/>
      <c r="CL395" s="399"/>
      <c r="CM395" s="399"/>
      <c r="CN395" s="399"/>
      <c r="CO395" s="399">
        <v>-17328.260650000004</v>
      </c>
      <c r="CP395" s="399">
        <v>0</v>
      </c>
      <c r="CQ395" s="399">
        <v>30</v>
      </c>
      <c r="CR395" s="399">
        <v>-533.03540455104667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-61.279576363902379</v>
      </c>
      <c r="DA395" s="399">
        <v>0</v>
      </c>
      <c r="DB395" s="399">
        <v>0</v>
      </c>
      <c r="DC395" s="399">
        <v>0</v>
      </c>
      <c r="DD395" s="399">
        <v>0</v>
      </c>
      <c r="DE395" s="399">
        <v>0</v>
      </c>
      <c r="DF395" s="399">
        <v>0</v>
      </c>
      <c r="DG395" s="399">
        <v>0</v>
      </c>
      <c r="DH395" s="399">
        <v>0</v>
      </c>
      <c r="DI395" s="399">
        <v>-408.98364553195188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-56.082229861602627</v>
      </c>
      <c r="DP395" s="399">
        <v>-6.6899527935901517</v>
      </c>
      <c r="DQ395" s="399">
        <v>0</v>
      </c>
      <c r="DR395" s="399">
        <v>0</v>
      </c>
      <c r="DS395" s="399"/>
      <c r="DT395" s="399"/>
      <c r="DU395" s="399"/>
      <c r="DV395" s="399">
        <v>38873.538638072467</v>
      </c>
      <c r="DW395" s="399">
        <v>0</v>
      </c>
      <c r="DX395" s="399">
        <v>0</v>
      </c>
      <c r="DY395" s="399">
        <v>-17328.260650000004</v>
      </c>
      <c r="DZ395" s="399">
        <v>0</v>
      </c>
      <c r="EA395" s="399">
        <v>0</v>
      </c>
      <c r="EB395" s="399">
        <v>0</v>
      </c>
      <c r="EC395" s="399">
        <v>-16794.122221071113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218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394</v>
      </c>
      <c r="B396" s="399" t="s">
        <v>956</v>
      </c>
      <c r="C396" s="399" t="s">
        <v>2328</v>
      </c>
      <c r="D396" s="399" t="s">
        <v>2337</v>
      </c>
      <c r="E396" s="399" t="s">
        <v>2338</v>
      </c>
      <c r="F396" s="399" t="s">
        <v>2339</v>
      </c>
      <c r="G396" s="399" t="s">
        <v>1239</v>
      </c>
      <c r="H396" s="399" t="s">
        <v>1239</v>
      </c>
      <c r="I396" s="399" t="s">
        <v>1239</v>
      </c>
      <c r="J396" s="399" t="s">
        <v>2329</v>
      </c>
      <c r="K396" s="789">
        <v>44652</v>
      </c>
      <c r="L396" s="399">
        <v>0</v>
      </c>
      <c r="M396" s="399">
        <v>0</v>
      </c>
      <c r="N396" s="399">
        <v>75.691000000000003</v>
      </c>
      <c r="O396" s="399">
        <v>75.691000000000003</v>
      </c>
      <c r="P396" s="399">
        <v>75.691000000000003</v>
      </c>
      <c r="Q396" s="399">
        <v>75.691000000000003</v>
      </c>
      <c r="R396" s="399"/>
      <c r="S396" s="399">
        <v>287.02</v>
      </c>
      <c r="T396" s="399">
        <v>77.73</v>
      </c>
      <c r="U396" s="399"/>
      <c r="V396" s="399">
        <v>27608.292249999999</v>
      </c>
      <c r="W396" s="399">
        <v>27608.292249999999</v>
      </c>
      <c r="X396" s="399">
        <v>21578.747190000002</v>
      </c>
      <c r="Y396" s="399">
        <v>0</v>
      </c>
      <c r="Z396" s="399">
        <v>2525.9883128575216</v>
      </c>
      <c r="AA396" s="399">
        <v>0</v>
      </c>
      <c r="AB396" s="399">
        <v>0</v>
      </c>
      <c r="AC396" s="399">
        <v>0</v>
      </c>
      <c r="AD396" s="399">
        <v>4477.4701642441905</v>
      </c>
      <c r="AE396" s="399">
        <v>13527.71783747995</v>
      </c>
      <c r="AF396" s="399">
        <v>5883.1141231780866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390.57281058733389</v>
      </c>
      <c r="AM396" s="399"/>
      <c r="AN396" s="399">
        <v>57.735329376429839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745.381799442692</v>
      </c>
      <c r="BH396" s="399">
        <v>0</v>
      </c>
      <c r="BI396" s="399">
        <v>187.64</v>
      </c>
      <c r="BJ396" s="399">
        <v>866.19</v>
      </c>
      <c r="BK396" s="399">
        <v>9624.3700000000008</v>
      </c>
      <c r="BL396" s="399">
        <v>7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6628.4959226207784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21578.462100000001</v>
      </c>
      <c r="CJ396" s="399">
        <v>-6029.8601499999932</v>
      </c>
      <c r="CK396" s="399"/>
      <c r="CL396" s="399"/>
      <c r="CM396" s="399"/>
      <c r="CN396" s="399"/>
      <c r="CO396" s="399">
        <v>-6029.5450599999976</v>
      </c>
      <c r="CP396" s="399">
        <v>0</v>
      </c>
      <c r="CQ396" s="399">
        <v>30</v>
      </c>
      <c r="CR396" s="399">
        <v>-185.49256905291986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-21.324861262819468</v>
      </c>
      <c r="DA396" s="399">
        <v>0</v>
      </c>
      <c r="DB396" s="399">
        <v>0</v>
      </c>
      <c r="DC396" s="399">
        <v>0</v>
      </c>
      <c r="DD396" s="399">
        <v>0</v>
      </c>
      <c r="DE396" s="399">
        <v>0</v>
      </c>
      <c r="DF396" s="399">
        <v>0</v>
      </c>
      <c r="DG396" s="399">
        <v>0</v>
      </c>
      <c r="DH396" s="399">
        <v>0</v>
      </c>
      <c r="DI396" s="399">
        <v>-142.32343004352697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-19.516221261149724</v>
      </c>
      <c r="DP396" s="399">
        <v>-2.3280564854243906</v>
      </c>
      <c r="DQ396" s="399">
        <v>0</v>
      </c>
      <c r="DR396" s="399">
        <v>0</v>
      </c>
      <c r="DS396" s="399"/>
      <c r="DT396" s="399"/>
      <c r="DU396" s="399"/>
      <c r="DV396" s="399">
        <v>13527.71783747995</v>
      </c>
      <c r="DW396" s="399">
        <v>0</v>
      </c>
      <c r="DX396" s="399">
        <v>0</v>
      </c>
      <c r="DY396" s="399">
        <v>-6029.5450599999986</v>
      </c>
      <c r="DZ396" s="399">
        <v>0</v>
      </c>
      <c r="EA396" s="399">
        <v>0</v>
      </c>
      <c r="EB396" s="399">
        <v>0</v>
      </c>
      <c r="EC396" s="399">
        <v>-5844.2363287271855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218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395</v>
      </c>
      <c r="B397" s="399" t="s">
        <v>956</v>
      </c>
      <c r="C397" s="399" t="s">
        <v>2328</v>
      </c>
      <c r="D397" s="399" t="s">
        <v>1826</v>
      </c>
      <c r="E397" s="399" t="s">
        <v>921</v>
      </c>
      <c r="F397" s="399" t="s">
        <v>2362</v>
      </c>
      <c r="G397" s="399" t="s">
        <v>1239</v>
      </c>
      <c r="H397" s="399" t="s">
        <v>1239</v>
      </c>
      <c r="I397" s="399" t="s">
        <v>1239</v>
      </c>
      <c r="J397" s="399" t="s">
        <v>2329</v>
      </c>
      <c r="K397" s="789">
        <v>44652</v>
      </c>
      <c r="L397" s="399">
        <v>0</v>
      </c>
      <c r="M397" s="399">
        <v>0</v>
      </c>
      <c r="N397" s="399">
        <v>55.442</v>
      </c>
      <c r="O397" s="399">
        <v>52.115479999999998</v>
      </c>
      <c r="P397" s="399">
        <v>55.442</v>
      </c>
      <c r="Q397" s="399">
        <v>52.115479999999998</v>
      </c>
      <c r="R397" s="399"/>
      <c r="S397" s="399">
        <v>521.86</v>
      </c>
      <c r="T397" s="399">
        <v>141.32</v>
      </c>
      <c r="U397" s="399"/>
      <c r="V397" s="399">
        <v>36768.025560000002</v>
      </c>
      <c r="W397" s="399">
        <v>36768.025560000002</v>
      </c>
      <c r="X397" s="399">
        <v>28737.251859999997</v>
      </c>
      <c r="Y397" s="399">
        <v>0</v>
      </c>
      <c r="Z397" s="399">
        <v>3364.0565899259518</v>
      </c>
      <c r="AA397" s="399">
        <v>0</v>
      </c>
      <c r="AB397" s="399">
        <v>0</v>
      </c>
      <c r="AC397" s="399">
        <v>0</v>
      </c>
      <c r="AD397" s="399">
        <v>5962.9979028616481</v>
      </c>
      <c r="AE397" s="399">
        <v>18015.921968519455</v>
      </c>
      <c r="AF397" s="399">
        <v>7835.0041188333689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520.15641981172121</v>
      </c>
      <c r="AM397" s="399"/>
      <c r="AN397" s="399">
        <v>76.890662665262525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992.68335552567908</v>
      </c>
      <c r="BH397" s="399">
        <v>0</v>
      </c>
      <c r="BI397" s="399">
        <v>237.51</v>
      </c>
      <c r="BJ397" s="399">
        <v>1096.5899999999999</v>
      </c>
      <c r="BK397" s="399">
        <v>12184.54</v>
      </c>
      <c r="BL397" s="399">
        <v>20</v>
      </c>
      <c r="BM397" s="399"/>
      <c r="BN397" s="399"/>
      <c r="BO397" s="399"/>
      <c r="BP397" s="399"/>
      <c r="BQ397" s="399">
        <v>1724.2351116000009</v>
      </c>
      <c r="BR397" s="399"/>
      <c r="BS397" s="399"/>
      <c r="BT397" s="399"/>
      <c r="BU397" s="399"/>
      <c r="BV397" s="399">
        <v>8827.6874743590488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27015.359599999996</v>
      </c>
      <c r="CJ397" s="399">
        <v>-7546.6144264000031</v>
      </c>
      <c r="CK397" s="399"/>
      <c r="CL397" s="399"/>
      <c r="CM397" s="399"/>
      <c r="CN397" s="399"/>
      <c r="CO397" s="399">
        <v>-8030.7737000000016</v>
      </c>
      <c r="CP397" s="399">
        <v>0</v>
      </c>
      <c r="CQ397" s="399">
        <v>30</v>
      </c>
      <c r="CR397" s="399">
        <v>-247.03499067215307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-28.399988905427563</v>
      </c>
      <c r="DA397" s="399">
        <v>0</v>
      </c>
      <c r="DB397" s="399">
        <v>0</v>
      </c>
      <c r="DC397" s="399">
        <v>0</v>
      </c>
      <c r="DD397" s="399">
        <v>0</v>
      </c>
      <c r="DE397" s="399">
        <v>0</v>
      </c>
      <c r="DF397" s="399">
        <v>0</v>
      </c>
      <c r="DG397" s="399">
        <v>0</v>
      </c>
      <c r="DH397" s="399">
        <v>0</v>
      </c>
      <c r="DI397" s="399">
        <v>-189.54326522484052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-25.99128127784212</v>
      </c>
      <c r="DP397" s="399">
        <v>-3.1004552640432195</v>
      </c>
      <c r="DQ397" s="399">
        <v>0</v>
      </c>
      <c r="DR397" s="399">
        <v>0</v>
      </c>
      <c r="DS397" s="399"/>
      <c r="DT397" s="399"/>
      <c r="DU397" s="399"/>
      <c r="DV397" s="399">
        <v>18015.921968519455</v>
      </c>
      <c r="DW397" s="399">
        <v>0</v>
      </c>
      <c r="DX397" s="399">
        <v>0</v>
      </c>
      <c r="DY397" s="399">
        <v>-8030.7737000000016</v>
      </c>
      <c r="DZ397" s="399">
        <v>0</v>
      </c>
      <c r="EA397" s="399">
        <v>0</v>
      </c>
      <c r="EB397" s="399">
        <v>0</v>
      </c>
      <c r="EC397" s="399">
        <v>-7783.2275132336217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218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396</v>
      </c>
      <c r="B398" s="399" t="s">
        <v>956</v>
      </c>
      <c r="C398" s="399" t="s">
        <v>2398</v>
      </c>
      <c r="D398" s="399" t="s">
        <v>533</v>
      </c>
      <c r="E398" s="399" t="s">
        <v>921</v>
      </c>
      <c r="F398" s="399" t="s">
        <v>2362</v>
      </c>
      <c r="G398" s="399" t="s">
        <v>1239</v>
      </c>
      <c r="H398" s="399" t="s">
        <v>1239</v>
      </c>
      <c r="I398" s="399" t="s">
        <v>893</v>
      </c>
      <c r="J398" s="399" t="s">
        <v>2329</v>
      </c>
      <c r="K398" s="789">
        <v>44652</v>
      </c>
      <c r="L398" s="399">
        <v>481</v>
      </c>
      <c r="M398" s="399">
        <v>452.14</v>
      </c>
      <c r="N398" s="399">
        <v>17.777000000000001</v>
      </c>
      <c r="O398" s="399">
        <v>16.710380000000001</v>
      </c>
      <c r="P398" s="399">
        <v>17.777000000000001</v>
      </c>
      <c r="Q398" s="399">
        <v>16.710380000000001</v>
      </c>
      <c r="R398" s="399">
        <v>111.06</v>
      </c>
      <c r="S398" s="399">
        <v>69.680000000000007</v>
      </c>
      <c r="T398" s="399">
        <v>141.32</v>
      </c>
      <c r="U398" s="399">
        <v>53419.86</v>
      </c>
      <c r="V398" s="399">
        <v>3750.9470000000001</v>
      </c>
      <c r="W398" s="399">
        <v>57170.807000000001</v>
      </c>
      <c r="X398" s="399">
        <v>40808.208580000006</v>
      </c>
      <c r="Y398" s="399">
        <v>0</v>
      </c>
      <c r="Z398" s="399">
        <v>938.43053243441591</v>
      </c>
      <c r="AA398" s="399">
        <v>0</v>
      </c>
      <c r="AB398" s="399">
        <v>0</v>
      </c>
      <c r="AC398" s="399">
        <v>0</v>
      </c>
      <c r="AD398" s="399">
        <v>15864.900917666671</v>
      </c>
      <c r="AE398" s="399">
        <v>37556.12189506532</v>
      </c>
      <c r="AF398" s="399">
        <v>2512.2266191786157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166.78367798768025</v>
      </c>
      <c r="AM398" s="399"/>
      <c r="AN398" s="399">
        <v>10.679397865825619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122.89166191871828</v>
      </c>
      <c r="BH398" s="399">
        <v>0</v>
      </c>
      <c r="BI398" s="399">
        <v>0</v>
      </c>
      <c r="BJ398" s="399">
        <v>0</v>
      </c>
      <c r="BK398" s="399">
        <v>0</v>
      </c>
      <c r="BL398" s="399">
        <v>0</v>
      </c>
      <c r="BM398" s="399"/>
      <c r="BN398" s="399"/>
      <c r="BO398" s="399"/>
      <c r="BP398" s="399"/>
      <c r="BQ398" s="399">
        <v>2448.4925148000011</v>
      </c>
      <c r="BR398" s="399"/>
      <c r="BS398" s="399"/>
      <c r="BT398" s="399"/>
      <c r="BU398" s="399"/>
      <c r="BV398" s="399">
        <v>2635.1182810973341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38359.637199999997</v>
      </c>
      <c r="CJ398" s="399">
        <v>-15380.951380000013</v>
      </c>
      <c r="CK398" s="399"/>
      <c r="CL398" s="399"/>
      <c r="CM398" s="399"/>
      <c r="CN398" s="399"/>
      <c r="CO398" s="399">
        <v>-16362.59842</v>
      </c>
      <c r="CP398" s="399">
        <v>0</v>
      </c>
      <c r="CQ398" s="399">
        <v>30</v>
      </c>
      <c r="CR398" s="399">
        <v>-137.19893069149111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-75.55981360172882</v>
      </c>
      <c r="DA398" s="399">
        <v>0</v>
      </c>
      <c r="DB398" s="399">
        <v>0</v>
      </c>
      <c r="DC398" s="399">
        <v>0</v>
      </c>
      <c r="DD398" s="399">
        <v>0</v>
      </c>
      <c r="DE398" s="399">
        <v>0</v>
      </c>
      <c r="DF398" s="399">
        <v>0</v>
      </c>
      <c r="DG398" s="399">
        <v>0</v>
      </c>
      <c r="DH398" s="399">
        <v>0</v>
      </c>
      <c r="DI398" s="399">
        <v>-52.874612108777228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-8.3338805828830118</v>
      </c>
      <c r="DP398" s="399">
        <v>-0.43062439810228703</v>
      </c>
      <c r="DQ398" s="399">
        <v>0</v>
      </c>
      <c r="DR398" s="399">
        <v>0</v>
      </c>
      <c r="DS398" s="399"/>
      <c r="DT398" s="399"/>
      <c r="DU398" s="399">
        <v>37556.12189506532</v>
      </c>
      <c r="DV398" s="399">
        <v>0</v>
      </c>
      <c r="DW398" s="399">
        <v>0</v>
      </c>
      <c r="DX398" s="399">
        <v>0</v>
      </c>
      <c r="DY398" s="399">
        <v>-16362.598419999995</v>
      </c>
      <c r="DZ398" s="399">
        <v>0</v>
      </c>
      <c r="EA398" s="399">
        <v>0</v>
      </c>
      <c r="EB398" s="399">
        <v>0</v>
      </c>
      <c r="EC398" s="399">
        <v>-16224.972651124834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218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397</v>
      </c>
      <c r="B399" s="399" t="s">
        <v>956</v>
      </c>
      <c r="C399" s="399" t="s">
        <v>2398</v>
      </c>
      <c r="D399" s="399" t="s">
        <v>533</v>
      </c>
      <c r="E399" s="399" t="s">
        <v>921</v>
      </c>
      <c r="F399" s="399" t="s">
        <v>2362</v>
      </c>
      <c r="G399" s="399" t="s">
        <v>1239</v>
      </c>
      <c r="H399" s="399" t="s">
        <v>1239</v>
      </c>
      <c r="I399" s="399" t="s">
        <v>2326</v>
      </c>
      <c r="J399" s="399" t="s">
        <v>2329</v>
      </c>
      <c r="K399" s="789">
        <v>44652</v>
      </c>
      <c r="L399" s="399">
        <v>482</v>
      </c>
      <c r="M399" s="399">
        <v>453.08</v>
      </c>
      <c r="N399" s="399">
        <v>194.71899999999999</v>
      </c>
      <c r="O399" s="399">
        <v>183.03586000000001</v>
      </c>
      <c r="P399" s="399">
        <v>194.71899999999999</v>
      </c>
      <c r="Q399" s="399">
        <v>183.03586000000001</v>
      </c>
      <c r="R399" s="399">
        <v>35.15</v>
      </c>
      <c r="S399" s="399">
        <v>69.680000000000007</v>
      </c>
      <c r="T399" s="399">
        <v>141.32</v>
      </c>
      <c r="U399" s="399">
        <v>16942.3</v>
      </c>
      <c r="V399" s="399">
        <v>41085.708999999995</v>
      </c>
      <c r="W399" s="399">
        <v>58028.008999999998</v>
      </c>
      <c r="X399" s="399">
        <v>52780.101259999996</v>
      </c>
      <c r="Y399" s="399">
        <v>0</v>
      </c>
      <c r="Z399" s="399">
        <v>10279.026542447938</v>
      </c>
      <c r="AA399" s="399">
        <v>0</v>
      </c>
      <c r="AB399" s="399">
        <v>0</v>
      </c>
      <c r="AC399" s="399">
        <v>0</v>
      </c>
      <c r="AD399" s="399">
        <v>6425.7219269970019</v>
      </c>
      <c r="AE399" s="399">
        <v>10516.265020658551</v>
      </c>
      <c r="AF399" s="399">
        <v>27517.480736898284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1826.8521681995335</v>
      </c>
      <c r="AM399" s="399"/>
      <c r="AN399" s="399">
        <v>116.97596180658708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1346.0843515301176</v>
      </c>
      <c r="BH399" s="399">
        <v>0</v>
      </c>
      <c r="BI399" s="399">
        <v>0</v>
      </c>
      <c r="BJ399" s="399">
        <v>0</v>
      </c>
      <c r="BK399" s="399">
        <v>0</v>
      </c>
      <c r="BL399" s="399">
        <v>0</v>
      </c>
      <c r="BM399" s="399"/>
      <c r="BN399" s="399"/>
      <c r="BO399" s="399"/>
      <c r="BP399" s="399"/>
      <c r="BQ399" s="399">
        <v>3166.8060755999963</v>
      </c>
      <c r="BR399" s="399"/>
      <c r="BS399" s="399"/>
      <c r="BT399" s="399"/>
      <c r="BU399" s="399"/>
      <c r="BV399" s="399">
        <v>28863.5650884284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49614.154399999999</v>
      </c>
      <c r="CJ399" s="399">
        <v>-4932.2040600000037</v>
      </c>
      <c r="CK399" s="399"/>
      <c r="CL399" s="399"/>
      <c r="CM399" s="399"/>
      <c r="CN399" s="399"/>
      <c r="CO399" s="399">
        <v>-5247.9077400000006</v>
      </c>
      <c r="CP399" s="399">
        <v>0</v>
      </c>
      <c r="CQ399" s="399">
        <v>30</v>
      </c>
      <c r="CR399" s="399">
        <v>-705.76312657761446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-30.603806073512715</v>
      </c>
      <c r="DA399" s="399">
        <v>0</v>
      </c>
      <c r="DB399" s="399">
        <v>0</v>
      </c>
      <c r="DC399" s="399">
        <v>0</v>
      </c>
      <c r="DD399" s="399">
        <v>0</v>
      </c>
      <c r="DE399" s="399">
        <v>0</v>
      </c>
      <c r="DF399" s="399">
        <v>0</v>
      </c>
      <c r="DG399" s="399">
        <v>0</v>
      </c>
      <c r="DH399" s="399">
        <v>0</v>
      </c>
      <c r="DI399" s="399">
        <v>-579.15799039258491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-91.284518941238275</v>
      </c>
      <c r="DP399" s="399">
        <v>-4.7168111702806499</v>
      </c>
      <c r="DQ399" s="399">
        <v>0</v>
      </c>
      <c r="DR399" s="399">
        <v>0</v>
      </c>
      <c r="DS399" s="399"/>
      <c r="DT399" s="399"/>
      <c r="DU399" s="399">
        <v>10516.265020658551</v>
      </c>
      <c r="DV399" s="399">
        <v>0</v>
      </c>
      <c r="DW399" s="399">
        <v>0</v>
      </c>
      <c r="DX399" s="399">
        <v>0</v>
      </c>
      <c r="DY399" s="399">
        <v>-5247.9077400000024</v>
      </c>
      <c r="DZ399" s="399">
        <v>0</v>
      </c>
      <c r="EA399" s="399">
        <v>0</v>
      </c>
      <c r="EB399" s="399">
        <v>0</v>
      </c>
      <c r="EC399" s="399">
        <v>-4543.2303374908879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218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398</v>
      </c>
      <c r="B400" s="399" t="s">
        <v>956</v>
      </c>
      <c r="C400" s="399" t="s">
        <v>2398</v>
      </c>
      <c r="D400" s="399" t="s">
        <v>533</v>
      </c>
      <c r="E400" s="399" t="s">
        <v>921</v>
      </c>
      <c r="F400" s="399" t="s">
        <v>2362</v>
      </c>
      <c r="G400" s="399" t="s">
        <v>1239</v>
      </c>
      <c r="H400" s="399" t="s">
        <v>1239</v>
      </c>
      <c r="I400" s="399" t="s">
        <v>1239</v>
      </c>
      <c r="J400" s="399" t="s">
        <v>2329</v>
      </c>
      <c r="K400" s="789">
        <v>44652</v>
      </c>
      <c r="L400" s="399">
        <v>0</v>
      </c>
      <c r="M400" s="399">
        <v>0</v>
      </c>
      <c r="N400" s="399">
        <v>0</v>
      </c>
      <c r="O400" s="399">
        <v>0</v>
      </c>
      <c r="P400" s="399">
        <v>0</v>
      </c>
      <c r="Q400" s="399">
        <v>0</v>
      </c>
      <c r="R400" s="399"/>
      <c r="S400" s="399"/>
      <c r="T400" s="399"/>
      <c r="U400" s="399"/>
      <c r="V400" s="399"/>
      <c r="W400" s="399"/>
      <c r="X400" s="399"/>
      <c r="Y400" s="399"/>
      <c r="Z400" s="399"/>
      <c r="AA400" s="399">
        <v>0</v>
      </c>
      <c r="AB400" s="399"/>
      <c r="AC400" s="399"/>
      <c r="AD400" s="399"/>
      <c r="AE400" s="399"/>
      <c r="AF400" s="399"/>
      <c r="AG400" s="399"/>
      <c r="AH400" s="399"/>
      <c r="AI400" s="399"/>
      <c r="AJ400" s="399"/>
      <c r="AK400" s="399"/>
      <c r="AL400" s="399"/>
      <c r="AM400" s="399"/>
      <c r="AN400" s="399"/>
      <c r="AO400" s="399"/>
      <c r="AP400" s="399"/>
      <c r="AQ400" s="399"/>
      <c r="AR400" s="399"/>
      <c r="AS400" s="399"/>
      <c r="AT400" s="399"/>
      <c r="AU400" s="399"/>
      <c r="AV400" s="399"/>
      <c r="AW400" s="399"/>
      <c r="AX400" s="399"/>
      <c r="AY400" s="399"/>
      <c r="AZ400" s="399">
        <v>0</v>
      </c>
      <c r="BA400" s="399"/>
      <c r="BB400" s="399"/>
      <c r="BC400" s="399"/>
      <c r="BD400" s="399"/>
      <c r="BE400" s="399"/>
      <c r="BF400" s="399"/>
      <c r="BG400" s="399"/>
      <c r="BH400" s="399"/>
      <c r="BI400" s="399">
        <v>733.14</v>
      </c>
      <c r="BJ400" s="399">
        <v>3383.76</v>
      </c>
      <c r="BK400" s="399">
        <v>36948.11</v>
      </c>
      <c r="BL400" s="399">
        <v>2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/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/>
      <c r="CJ400" s="399">
        <v>-0.03</v>
      </c>
      <c r="CK400" s="399"/>
      <c r="CL400" s="399"/>
      <c r="CM400" s="399"/>
      <c r="CN400" s="399"/>
      <c r="CO400" s="399">
        <v>0</v>
      </c>
      <c r="CP400" s="399">
        <v>0</v>
      </c>
      <c r="CQ400" s="399">
        <v>30</v>
      </c>
      <c r="CR400" s="399"/>
      <c r="CS400" s="399"/>
      <c r="CT400" s="399"/>
      <c r="CU400" s="399"/>
      <c r="CV400" s="399"/>
      <c r="CW400" s="399"/>
      <c r="CX400" s="399"/>
      <c r="CY400" s="399"/>
      <c r="CZ400" s="399"/>
      <c r="DA400" s="399"/>
      <c r="DB400" s="399"/>
      <c r="DC400" s="399"/>
      <c r="DD400" s="399"/>
      <c r="DE400" s="399"/>
      <c r="DF400" s="399"/>
      <c r="DG400" s="399"/>
      <c r="DH400" s="399"/>
      <c r="DI400" s="399"/>
      <c r="DJ400" s="399"/>
      <c r="DK400" s="399">
        <v>0</v>
      </c>
      <c r="DL400" s="399"/>
      <c r="DM400" s="399"/>
      <c r="DN400" s="399"/>
      <c r="DO400" s="399"/>
      <c r="DP400" s="399"/>
      <c r="DQ400" s="399"/>
      <c r="DR400" s="399"/>
      <c r="DS400" s="399"/>
      <c r="DT400" s="399"/>
      <c r="DU400" s="399"/>
      <c r="DV400" s="399"/>
      <c r="DW400" s="399"/>
      <c r="DX400" s="399"/>
      <c r="DY400" s="399"/>
      <c r="DZ400" s="399"/>
      <c r="EA400" s="399"/>
      <c r="EB400" s="399"/>
      <c r="EC400" s="399"/>
      <c r="ED400" s="399"/>
      <c r="EE400" s="399"/>
      <c r="EF400" s="399"/>
      <c r="EG400" s="399"/>
      <c r="EH400" s="399"/>
      <c r="EI400" s="399"/>
      <c r="EJ400" s="399"/>
      <c r="EK400" s="399"/>
      <c r="EL400" s="399"/>
      <c r="EM400" s="399"/>
      <c r="EN400" s="399"/>
      <c r="EO400" s="399"/>
      <c r="EP400" s="399"/>
      <c r="EQ400" s="399"/>
      <c r="ER400" s="399"/>
      <c r="ES400" s="399"/>
      <c r="ET400" s="399"/>
      <c r="EU400" s="399"/>
      <c r="EV400" s="399">
        <v>218</v>
      </c>
      <c r="EW400" s="399"/>
      <c r="EX400" s="399"/>
      <c r="EY400" s="399"/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399</v>
      </c>
      <c r="B401" s="399" t="s">
        <v>956</v>
      </c>
      <c r="C401" s="399" t="s">
        <v>2334</v>
      </c>
      <c r="D401" s="399" t="s">
        <v>533</v>
      </c>
      <c r="E401" s="399" t="s">
        <v>921</v>
      </c>
      <c r="F401" s="399" t="s">
        <v>2362</v>
      </c>
      <c r="G401" s="399" t="s">
        <v>1239</v>
      </c>
      <c r="H401" s="399" t="s">
        <v>1239</v>
      </c>
      <c r="I401" s="399" t="s">
        <v>893</v>
      </c>
      <c r="J401" s="399" t="s">
        <v>2329</v>
      </c>
      <c r="K401" s="789">
        <v>44652</v>
      </c>
      <c r="L401" s="399">
        <v>0</v>
      </c>
      <c r="M401" s="399">
        <v>0</v>
      </c>
      <c r="N401" s="399">
        <v>3.74</v>
      </c>
      <c r="O401" s="399">
        <v>3.5156000000000001</v>
      </c>
      <c r="P401" s="399">
        <v>3.74</v>
      </c>
      <c r="Q401" s="399">
        <v>3.5156000000000001</v>
      </c>
      <c r="R401" s="399"/>
      <c r="S401" s="399">
        <v>2741.05</v>
      </c>
      <c r="T401" s="399">
        <v>141.32</v>
      </c>
      <c r="U401" s="399"/>
      <c r="V401" s="399">
        <v>10780.063800000002</v>
      </c>
      <c r="W401" s="399">
        <v>10780.063800000002</v>
      </c>
      <c r="X401" s="399">
        <v>7718.9112000000005</v>
      </c>
      <c r="Y401" s="399">
        <v>0</v>
      </c>
      <c r="Z401" s="399">
        <v>197.43096086542809</v>
      </c>
      <c r="AA401" s="399">
        <v>0</v>
      </c>
      <c r="AB401" s="399">
        <v>0</v>
      </c>
      <c r="AC401" s="399">
        <v>0</v>
      </c>
      <c r="AD401" s="399">
        <v>2967.9199319387722</v>
      </c>
      <c r="AE401" s="399">
        <v>7023.0046744433912</v>
      </c>
      <c r="AF401" s="399">
        <v>528.53279831962777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35.088651385156332</v>
      </c>
      <c r="AM401" s="399"/>
      <c r="AN401" s="399">
        <v>2.246776622500299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25.854464508972626</v>
      </c>
      <c r="BH401" s="399">
        <v>0</v>
      </c>
      <c r="BI401" s="399">
        <v>0</v>
      </c>
      <c r="BJ401" s="399">
        <v>0</v>
      </c>
      <c r="BK401" s="399">
        <v>0</v>
      </c>
      <c r="BL401" s="399">
        <v>0</v>
      </c>
      <c r="BM401" s="399"/>
      <c r="BN401" s="399"/>
      <c r="BO401" s="399"/>
      <c r="BP401" s="399"/>
      <c r="BQ401" s="399">
        <v>463.13467200000031</v>
      </c>
      <c r="BR401" s="399"/>
      <c r="BS401" s="399"/>
      <c r="BT401" s="399"/>
      <c r="BU401" s="399"/>
      <c r="BV401" s="399">
        <v>554.38726282860034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7264.8575999999994</v>
      </c>
      <c r="CJ401" s="399">
        <v>-2868.4323720000029</v>
      </c>
      <c r="CK401" s="399"/>
      <c r="CL401" s="399"/>
      <c r="CM401" s="399"/>
      <c r="CN401" s="399"/>
      <c r="CO401" s="399">
        <v>-3061.1526000000013</v>
      </c>
      <c r="CP401" s="399">
        <v>0</v>
      </c>
      <c r="CQ401" s="399">
        <v>30</v>
      </c>
      <c r="CR401" s="399">
        <v>-27.103218217026097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-14.135321613790438</v>
      </c>
      <c r="DA401" s="399">
        <v>0</v>
      </c>
      <c r="DB401" s="399">
        <v>0</v>
      </c>
      <c r="DC401" s="399">
        <v>0</v>
      </c>
      <c r="DD401" s="399">
        <v>0</v>
      </c>
      <c r="DE401" s="399">
        <v>0</v>
      </c>
      <c r="DF401" s="399">
        <v>0</v>
      </c>
      <c r="DG401" s="399">
        <v>0</v>
      </c>
      <c r="DH401" s="399">
        <v>0</v>
      </c>
      <c r="DI401" s="399">
        <v>-11.123983196648851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-1.7533168352355517</v>
      </c>
      <c r="DP401" s="399">
        <v>-9.0596571350765043E-2</v>
      </c>
      <c r="DQ401" s="399">
        <v>0</v>
      </c>
      <c r="DR401" s="399">
        <v>0</v>
      </c>
      <c r="DS401" s="399"/>
      <c r="DT401" s="399"/>
      <c r="DU401" s="399"/>
      <c r="DV401" s="399">
        <v>7023.0046744433912</v>
      </c>
      <c r="DW401" s="399">
        <v>0</v>
      </c>
      <c r="DX401" s="399">
        <v>0</v>
      </c>
      <c r="DY401" s="399">
        <v>-3061.1526000000013</v>
      </c>
      <c r="DZ401" s="399">
        <v>0</v>
      </c>
      <c r="EA401" s="399">
        <v>0</v>
      </c>
      <c r="EB401" s="399">
        <v>0</v>
      </c>
      <c r="EC401" s="399">
        <v>-3034.0741541404695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218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400</v>
      </c>
      <c r="B402" s="399" t="s">
        <v>956</v>
      </c>
      <c r="C402" s="399" t="s">
        <v>2334</v>
      </c>
      <c r="D402" s="399" t="s">
        <v>533</v>
      </c>
      <c r="E402" s="399" t="s">
        <v>921</v>
      </c>
      <c r="F402" s="399" t="s">
        <v>2362</v>
      </c>
      <c r="G402" s="399" t="s">
        <v>1239</v>
      </c>
      <c r="H402" s="399" t="s">
        <v>1239</v>
      </c>
      <c r="I402" s="399" t="s">
        <v>2326</v>
      </c>
      <c r="J402" s="399" t="s">
        <v>2329</v>
      </c>
      <c r="K402" s="789">
        <v>44652</v>
      </c>
      <c r="L402" s="399">
        <v>0</v>
      </c>
      <c r="M402" s="399">
        <v>0</v>
      </c>
      <c r="N402" s="399">
        <v>34.99</v>
      </c>
      <c r="O402" s="399">
        <v>32.890599999999999</v>
      </c>
      <c r="P402" s="399">
        <v>34.99</v>
      </c>
      <c r="Q402" s="399">
        <v>32.890599999999999</v>
      </c>
      <c r="R402" s="399"/>
      <c r="S402" s="399">
        <v>69.680000000000007</v>
      </c>
      <c r="T402" s="399">
        <v>141.32</v>
      </c>
      <c r="U402" s="399"/>
      <c r="V402" s="399">
        <v>7382.89</v>
      </c>
      <c r="W402" s="399">
        <v>7382.89</v>
      </c>
      <c r="X402" s="399">
        <v>7261.8245999999999</v>
      </c>
      <c r="Y402" s="399">
        <v>0</v>
      </c>
      <c r="Z402" s="399">
        <v>1847.0880536581094</v>
      </c>
      <c r="AA402" s="399">
        <v>0</v>
      </c>
      <c r="AB402" s="399">
        <v>0</v>
      </c>
      <c r="AC402" s="399">
        <v>0</v>
      </c>
      <c r="AD402" s="399">
        <v>0</v>
      </c>
      <c r="AE402" s="399">
        <v>0</v>
      </c>
      <c r="AF402" s="399">
        <v>4944.7493618191911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328.27591229054013</v>
      </c>
      <c r="AM402" s="399"/>
      <c r="AN402" s="399">
        <v>21.019977011038893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241.88441528581609</v>
      </c>
      <c r="BH402" s="399">
        <v>0</v>
      </c>
      <c r="BI402" s="399">
        <v>0</v>
      </c>
      <c r="BJ402" s="399">
        <v>0</v>
      </c>
      <c r="BK402" s="399">
        <v>0</v>
      </c>
      <c r="BL402" s="399">
        <v>0</v>
      </c>
      <c r="BM402" s="399"/>
      <c r="BN402" s="399"/>
      <c r="BO402" s="399"/>
      <c r="BP402" s="399"/>
      <c r="BQ402" s="399">
        <v>435.70947600000056</v>
      </c>
      <c r="BR402" s="399"/>
      <c r="BS402" s="399"/>
      <c r="BT402" s="399"/>
      <c r="BU402" s="399"/>
      <c r="BV402" s="399">
        <v>5186.6337771050075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6825.9906000000001</v>
      </c>
      <c r="CJ402" s="399">
        <v>-113.95600000000013</v>
      </c>
      <c r="CK402" s="399"/>
      <c r="CL402" s="399"/>
      <c r="CM402" s="399"/>
      <c r="CN402" s="399"/>
      <c r="CO402" s="399">
        <v>-121.06540000000028</v>
      </c>
      <c r="CP402" s="399">
        <v>0</v>
      </c>
      <c r="CQ402" s="399">
        <v>30</v>
      </c>
      <c r="CR402" s="399">
        <v>-121.32264763294097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0</v>
      </c>
      <c r="DA402" s="399">
        <v>0</v>
      </c>
      <c r="DB402" s="399">
        <v>0</v>
      </c>
      <c r="DC402" s="399">
        <v>0</v>
      </c>
      <c r="DD402" s="399">
        <v>0</v>
      </c>
      <c r="DE402" s="399">
        <v>0</v>
      </c>
      <c r="DF402" s="399">
        <v>0</v>
      </c>
      <c r="DG402" s="399">
        <v>0</v>
      </c>
      <c r="DH402" s="399">
        <v>0</v>
      </c>
      <c r="DI402" s="399">
        <v>-104.07170375688338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-16.403357236602176</v>
      </c>
      <c r="DP402" s="399">
        <v>-0.84758663945542168</v>
      </c>
      <c r="DQ402" s="399">
        <v>0</v>
      </c>
      <c r="DR402" s="399">
        <v>0</v>
      </c>
      <c r="DS402" s="399"/>
      <c r="DT402" s="399"/>
      <c r="DU402" s="399"/>
      <c r="DV402" s="399">
        <v>0</v>
      </c>
      <c r="DW402" s="399">
        <v>0</v>
      </c>
      <c r="DX402" s="399">
        <v>0</v>
      </c>
      <c r="DY402" s="399">
        <v>-121.06540000000041</v>
      </c>
      <c r="DZ402" s="399">
        <v>0</v>
      </c>
      <c r="EA402" s="399">
        <v>0</v>
      </c>
      <c r="EB402" s="399">
        <v>0</v>
      </c>
      <c r="EC402" s="399">
        <v>0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218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401</v>
      </c>
      <c r="B403" s="399" t="s">
        <v>956</v>
      </c>
      <c r="C403" s="399" t="s">
        <v>2334</v>
      </c>
      <c r="D403" s="399" t="s">
        <v>533</v>
      </c>
      <c r="E403" s="399" t="s">
        <v>921</v>
      </c>
      <c r="F403" s="399" t="s">
        <v>2362</v>
      </c>
      <c r="G403" s="399" t="s">
        <v>1239</v>
      </c>
      <c r="H403" s="399" t="s">
        <v>1239</v>
      </c>
      <c r="I403" s="399" t="s">
        <v>1239</v>
      </c>
      <c r="J403" s="399" t="s">
        <v>2329</v>
      </c>
      <c r="K403" s="789">
        <v>44652</v>
      </c>
      <c r="L403" s="399">
        <v>87</v>
      </c>
      <c r="M403" s="399">
        <v>81.78</v>
      </c>
      <c r="N403" s="399">
        <v>0</v>
      </c>
      <c r="O403" s="399">
        <v>0</v>
      </c>
      <c r="P403" s="399">
        <v>0</v>
      </c>
      <c r="Q403" s="399">
        <v>0</v>
      </c>
      <c r="R403" s="399">
        <v>35.15</v>
      </c>
      <c r="S403" s="399"/>
      <c r="T403" s="399"/>
      <c r="U403" s="399">
        <v>3058.0499999999997</v>
      </c>
      <c r="V403" s="399"/>
      <c r="W403" s="399">
        <v>3058.0499999999997</v>
      </c>
      <c r="X403" s="399">
        <v>2232.42</v>
      </c>
      <c r="Y403" s="399">
        <v>0</v>
      </c>
      <c r="Z403" s="399">
        <v>0</v>
      </c>
      <c r="AA403" s="399">
        <v>0</v>
      </c>
      <c r="AB403" s="399">
        <v>0</v>
      </c>
      <c r="AC403" s="399">
        <v>0</v>
      </c>
      <c r="AD403" s="399">
        <v>1159.8294764496663</v>
      </c>
      <c r="AE403" s="399">
        <v>1898.1640182516471</v>
      </c>
      <c r="AF403" s="399"/>
      <c r="AG403" s="399"/>
      <c r="AH403" s="399"/>
      <c r="AI403" s="399">
        <v>0</v>
      </c>
      <c r="AJ403" s="399">
        <v>0</v>
      </c>
      <c r="AK403" s="399">
        <v>0</v>
      </c>
      <c r="AL403" s="399">
        <v>0</v>
      </c>
      <c r="AM403" s="399"/>
      <c r="AN403" s="399">
        <v>0</v>
      </c>
      <c r="AO403" s="399">
        <v>0</v>
      </c>
      <c r="AP403" s="399">
        <v>0</v>
      </c>
      <c r="AQ403" s="399">
        <v>0</v>
      </c>
      <c r="AR403" s="399">
        <v>0</v>
      </c>
      <c r="AS403" s="399"/>
      <c r="AT403" s="399"/>
      <c r="AU403" s="399">
        <v>0</v>
      </c>
      <c r="AV403" s="399">
        <v>0</v>
      </c>
      <c r="AW403" s="399">
        <v>0</v>
      </c>
      <c r="AX403" s="399"/>
      <c r="AY403" s="399"/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/>
      <c r="BG403" s="399">
        <v>0</v>
      </c>
      <c r="BH403" s="399">
        <v>0</v>
      </c>
      <c r="BI403" s="399">
        <v>138.83000000000001</v>
      </c>
      <c r="BJ403" s="399">
        <v>640.75</v>
      </c>
      <c r="BK403" s="399">
        <v>7119.46</v>
      </c>
      <c r="BL403" s="399">
        <v>1</v>
      </c>
      <c r="BM403" s="399"/>
      <c r="BN403" s="399"/>
      <c r="BO403" s="399"/>
      <c r="BP403" s="399"/>
      <c r="BQ403" s="399">
        <v>133.94519999999997</v>
      </c>
      <c r="BR403" s="399"/>
      <c r="BS403" s="399"/>
      <c r="BT403" s="399"/>
      <c r="BU403" s="399"/>
      <c r="BV403" s="399">
        <v>0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2098.4748</v>
      </c>
      <c r="CJ403" s="399">
        <v>-776.1222000000007</v>
      </c>
      <c r="CK403" s="399"/>
      <c r="CL403" s="399"/>
      <c r="CM403" s="399"/>
      <c r="CN403" s="399"/>
      <c r="CO403" s="399">
        <v>-825.62999999999988</v>
      </c>
      <c r="CP403" s="399">
        <v>0</v>
      </c>
      <c r="CQ403" s="399">
        <v>30</v>
      </c>
      <c r="CR403" s="399">
        <v>-5.5239235028955136</v>
      </c>
      <c r="CS403" s="399">
        <v>0</v>
      </c>
      <c r="CT403" s="399">
        <v>0</v>
      </c>
      <c r="CU403" s="399">
        <v>0</v>
      </c>
      <c r="CV403" s="399">
        <v>0</v>
      </c>
      <c r="CW403" s="399"/>
      <c r="CX403" s="399"/>
      <c r="CY403" s="399"/>
      <c r="CZ403" s="399">
        <v>-5.5239235028955136</v>
      </c>
      <c r="DA403" s="399">
        <v>0</v>
      </c>
      <c r="DB403" s="399">
        <v>0</v>
      </c>
      <c r="DC403" s="399"/>
      <c r="DD403" s="399"/>
      <c r="DE403" s="399">
        <v>0</v>
      </c>
      <c r="DF403" s="399">
        <v>0</v>
      </c>
      <c r="DG403" s="399">
        <v>0</v>
      </c>
      <c r="DH403" s="399">
        <v>0</v>
      </c>
      <c r="DI403" s="399">
        <v>0</v>
      </c>
      <c r="DJ403" s="399"/>
      <c r="DK403" s="399">
        <v>0</v>
      </c>
      <c r="DL403" s="399">
        <v>0</v>
      </c>
      <c r="DM403" s="399"/>
      <c r="DN403" s="399">
        <v>0</v>
      </c>
      <c r="DO403" s="399">
        <v>0</v>
      </c>
      <c r="DP403" s="399">
        <v>0</v>
      </c>
      <c r="DQ403" s="399">
        <v>0</v>
      </c>
      <c r="DR403" s="399">
        <v>0</v>
      </c>
      <c r="DS403" s="399"/>
      <c r="DT403" s="399"/>
      <c r="DU403" s="399">
        <v>1898.1640182516471</v>
      </c>
      <c r="DV403" s="399"/>
      <c r="DW403" s="399">
        <v>0</v>
      </c>
      <c r="DX403" s="399">
        <v>0</v>
      </c>
      <c r="DY403" s="399">
        <v>-825.62999999999965</v>
      </c>
      <c r="DZ403" s="399"/>
      <c r="EA403" s="399">
        <v>0</v>
      </c>
      <c r="EB403" s="399"/>
      <c r="EC403" s="399">
        <v>-820.04365012802327</v>
      </c>
      <c r="ED403" s="399"/>
      <c r="EE403" s="399">
        <v>0</v>
      </c>
      <c r="EF403" s="399">
        <v>0</v>
      </c>
      <c r="EG403" s="399"/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/>
      <c r="EN403" s="399"/>
      <c r="EO403" s="399">
        <v>0</v>
      </c>
      <c r="EP403" s="399">
        <v>0</v>
      </c>
      <c r="EQ403" s="399"/>
      <c r="ER403" s="399">
        <v>0</v>
      </c>
      <c r="ES403" s="399"/>
      <c r="ET403" s="399">
        <v>0</v>
      </c>
      <c r="EU403" s="399"/>
      <c r="EV403" s="399">
        <v>218</v>
      </c>
      <c r="EW403" s="399"/>
      <c r="EX403" s="399"/>
      <c r="EY403" s="399"/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402</v>
      </c>
      <c r="B404" s="399" t="s">
        <v>956</v>
      </c>
      <c r="C404" s="399" t="s">
        <v>2328</v>
      </c>
      <c r="D404" s="399" t="s">
        <v>2335</v>
      </c>
      <c r="E404" s="399" t="s">
        <v>894</v>
      </c>
      <c r="F404" s="399" t="s">
        <v>2363</v>
      </c>
      <c r="G404" s="399" t="s">
        <v>2340</v>
      </c>
      <c r="H404" s="399" t="s">
        <v>1239</v>
      </c>
      <c r="I404" s="399" t="s">
        <v>1239</v>
      </c>
      <c r="J404" s="399" t="s">
        <v>2329</v>
      </c>
      <c r="K404" s="789">
        <v>44652</v>
      </c>
      <c r="L404" s="399">
        <v>0</v>
      </c>
      <c r="M404" s="399">
        <v>0</v>
      </c>
      <c r="N404" s="399">
        <v>0</v>
      </c>
      <c r="O404" s="399">
        <v>0</v>
      </c>
      <c r="P404" s="399">
        <v>0</v>
      </c>
      <c r="Q404" s="399">
        <v>0</v>
      </c>
      <c r="R404" s="399"/>
      <c r="S404" s="399"/>
      <c r="T404" s="399"/>
      <c r="U404" s="399"/>
      <c r="V404" s="399"/>
      <c r="W404" s="399"/>
      <c r="X404" s="399"/>
      <c r="Y404" s="399"/>
      <c r="Z404" s="399"/>
      <c r="AA404" s="399">
        <v>0</v>
      </c>
      <c r="AB404" s="399"/>
      <c r="AC404" s="399"/>
      <c r="AD404" s="399"/>
      <c r="AE404" s="399"/>
      <c r="AF404" s="399"/>
      <c r="AG404" s="399"/>
      <c r="AH404" s="399"/>
      <c r="AI404" s="399"/>
      <c r="AJ404" s="399"/>
      <c r="AK404" s="399"/>
      <c r="AL404" s="399"/>
      <c r="AM404" s="399"/>
      <c r="AN404" s="399"/>
      <c r="AO404" s="399"/>
      <c r="AP404" s="399"/>
      <c r="AQ404" s="399"/>
      <c r="AR404" s="399"/>
      <c r="AS404" s="399"/>
      <c r="AT404" s="399"/>
      <c r="AU404" s="399"/>
      <c r="AV404" s="399"/>
      <c r="AW404" s="399"/>
      <c r="AX404" s="399"/>
      <c r="AY404" s="399"/>
      <c r="AZ404" s="399">
        <v>0</v>
      </c>
      <c r="BA404" s="399"/>
      <c r="BB404" s="399"/>
      <c r="BC404" s="399"/>
      <c r="BD404" s="399"/>
      <c r="BE404" s="399"/>
      <c r="BF404" s="399"/>
      <c r="BG404" s="399"/>
      <c r="BH404" s="399"/>
      <c r="BI404" s="399">
        <v>18.96</v>
      </c>
      <c r="BJ404" s="399">
        <v>88.1</v>
      </c>
      <c r="BK404" s="399">
        <v>551.28</v>
      </c>
      <c r="BL404" s="399">
        <v>21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/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/>
      <c r="CJ404" s="399">
        <v>-0.03</v>
      </c>
      <c r="CK404" s="399"/>
      <c r="CL404" s="399"/>
      <c r="CM404" s="399"/>
      <c r="CN404" s="399"/>
      <c r="CO404" s="399">
        <v>0</v>
      </c>
      <c r="CP404" s="399">
        <v>0</v>
      </c>
      <c r="CQ404" s="399">
        <v>30</v>
      </c>
      <c r="CR404" s="399"/>
      <c r="CS404" s="399"/>
      <c r="CT404" s="399"/>
      <c r="CU404" s="399"/>
      <c r="CV404" s="399"/>
      <c r="CW404" s="399"/>
      <c r="CX404" s="399"/>
      <c r="CY404" s="399"/>
      <c r="CZ404" s="399"/>
      <c r="DA404" s="399"/>
      <c r="DB404" s="399"/>
      <c r="DC404" s="399"/>
      <c r="DD404" s="399"/>
      <c r="DE404" s="399"/>
      <c r="DF404" s="399"/>
      <c r="DG404" s="399"/>
      <c r="DH404" s="399"/>
      <c r="DI404" s="399"/>
      <c r="DJ404" s="399"/>
      <c r="DK404" s="399">
        <v>0</v>
      </c>
      <c r="DL404" s="399"/>
      <c r="DM404" s="399"/>
      <c r="DN404" s="399"/>
      <c r="DO404" s="399"/>
      <c r="DP404" s="399"/>
      <c r="DQ404" s="399"/>
      <c r="DR404" s="399"/>
      <c r="DS404" s="399"/>
      <c r="DT404" s="399"/>
      <c r="DU404" s="399"/>
      <c r="DV404" s="399"/>
      <c r="DW404" s="399"/>
      <c r="DX404" s="399"/>
      <c r="DY404" s="399"/>
      <c r="DZ404" s="399"/>
      <c r="EA404" s="399"/>
      <c r="EB404" s="399"/>
      <c r="EC404" s="399"/>
      <c r="ED404" s="399"/>
      <c r="EE404" s="399"/>
      <c r="EF404" s="399"/>
      <c r="EG404" s="399"/>
      <c r="EH404" s="399"/>
      <c r="EI404" s="399"/>
      <c r="EJ404" s="399"/>
      <c r="EK404" s="399"/>
      <c r="EL404" s="399"/>
      <c r="EM404" s="399"/>
      <c r="EN404" s="399"/>
      <c r="EO404" s="399"/>
      <c r="EP404" s="399"/>
      <c r="EQ404" s="399"/>
      <c r="ER404" s="399"/>
      <c r="ES404" s="399"/>
      <c r="ET404" s="399"/>
      <c r="EU404" s="399"/>
      <c r="EV404" s="399">
        <v>218</v>
      </c>
      <c r="EW404" s="399"/>
      <c r="EX404" s="399"/>
      <c r="EY404" s="399"/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403</v>
      </c>
      <c r="B405" s="399" t="s">
        <v>2361</v>
      </c>
      <c r="C405" s="399" t="s">
        <v>2328</v>
      </c>
      <c r="D405" s="399" t="s">
        <v>2335</v>
      </c>
      <c r="E405" s="399" t="s">
        <v>894</v>
      </c>
      <c r="F405" s="399" t="s">
        <v>2363</v>
      </c>
      <c r="G405" s="399" t="s">
        <v>2340</v>
      </c>
      <c r="H405" s="399" t="s">
        <v>1239</v>
      </c>
      <c r="I405" s="399" t="s">
        <v>1239</v>
      </c>
      <c r="J405" s="399" t="s">
        <v>2329</v>
      </c>
      <c r="K405" s="789">
        <v>44652</v>
      </c>
      <c r="L405" s="399">
        <v>0</v>
      </c>
      <c r="M405" s="399">
        <v>0</v>
      </c>
      <c r="N405" s="399">
        <v>0</v>
      </c>
      <c r="O405" s="399">
        <v>0</v>
      </c>
      <c r="P405" s="399">
        <v>0</v>
      </c>
      <c r="Q405" s="399">
        <v>0</v>
      </c>
      <c r="R405" s="399"/>
      <c r="S405" s="399"/>
      <c r="T405" s="399"/>
      <c r="U405" s="399"/>
      <c r="V405" s="399"/>
      <c r="W405" s="399"/>
      <c r="X405" s="399"/>
      <c r="Y405" s="399"/>
      <c r="Z405" s="399"/>
      <c r="AA405" s="399">
        <v>0</v>
      </c>
      <c r="AB405" s="399"/>
      <c r="AC405" s="399"/>
      <c r="AD405" s="399"/>
      <c r="AE405" s="399"/>
      <c r="AF405" s="399"/>
      <c r="AG405" s="399"/>
      <c r="AH405" s="399"/>
      <c r="AI405" s="399"/>
      <c r="AJ405" s="399"/>
      <c r="AK405" s="399"/>
      <c r="AL405" s="399"/>
      <c r="AM405" s="399"/>
      <c r="AN405" s="399"/>
      <c r="AO405" s="399"/>
      <c r="AP405" s="399"/>
      <c r="AQ405" s="399"/>
      <c r="AR405" s="399"/>
      <c r="AS405" s="399"/>
      <c r="AT405" s="399"/>
      <c r="AU405" s="399"/>
      <c r="AV405" s="399"/>
      <c r="AW405" s="399"/>
      <c r="AX405" s="399"/>
      <c r="AY405" s="399"/>
      <c r="AZ405" s="399">
        <v>0</v>
      </c>
      <c r="BA405" s="399"/>
      <c r="BB405" s="399"/>
      <c r="BC405" s="399"/>
      <c r="BD405" s="399"/>
      <c r="BE405" s="399"/>
      <c r="BF405" s="399"/>
      <c r="BG405" s="399"/>
      <c r="BH405" s="399"/>
      <c r="BI405" s="399">
        <v>1.1599999999999999</v>
      </c>
      <c r="BJ405" s="399">
        <v>5.43</v>
      </c>
      <c r="BK405" s="399">
        <v>28.92</v>
      </c>
      <c r="BL405" s="399">
        <v>3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/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/>
      <c r="CJ405" s="399">
        <v>-0.03</v>
      </c>
      <c r="CK405" s="399"/>
      <c r="CL405" s="399"/>
      <c r="CM405" s="399"/>
      <c r="CN405" s="399"/>
      <c r="CO405" s="399">
        <v>0</v>
      </c>
      <c r="CP405" s="399">
        <v>0</v>
      </c>
      <c r="CQ405" s="399">
        <v>30</v>
      </c>
      <c r="CR405" s="399"/>
      <c r="CS405" s="399"/>
      <c r="CT405" s="399"/>
      <c r="CU405" s="399"/>
      <c r="CV405" s="399"/>
      <c r="CW405" s="399"/>
      <c r="CX405" s="399"/>
      <c r="CY405" s="399"/>
      <c r="CZ405" s="399"/>
      <c r="DA405" s="399"/>
      <c r="DB405" s="399"/>
      <c r="DC405" s="399"/>
      <c r="DD405" s="399"/>
      <c r="DE405" s="399"/>
      <c r="DF405" s="399"/>
      <c r="DG405" s="399"/>
      <c r="DH405" s="399"/>
      <c r="DI405" s="399"/>
      <c r="DJ405" s="399"/>
      <c r="DK405" s="399">
        <v>0</v>
      </c>
      <c r="DL405" s="399"/>
      <c r="DM405" s="399"/>
      <c r="DN405" s="399"/>
      <c r="DO405" s="399"/>
      <c r="DP405" s="399"/>
      <c r="DQ405" s="399"/>
      <c r="DR405" s="399"/>
      <c r="DS405" s="399"/>
      <c r="DT405" s="399"/>
      <c r="DU405" s="399"/>
      <c r="DV405" s="399"/>
      <c r="DW405" s="399"/>
      <c r="DX405" s="399"/>
      <c r="DY405" s="399"/>
      <c r="DZ405" s="399"/>
      <c r="EA405" s="399"/>
      <c r="EB405" s="399"/>
      <c r="EC405" s="399"/>
      <c r="ED405" s="399"/>
      <c r="EE405" s="399"/>
      <c r="EF405" s="399"/>
      <c r="EG405" s="399"/>
      <c r="EH405" s="399"/>
      <c r="EI405" s="399"/>
      <c r="EJ405" s="399"/>
      <c r="EK405" s="399"/>
      <c r="EL405" s="399"/>
      <c r="EM405" s="399"/>
      <c r="EN405" s="399"/>
      <c r="EO405" s="399"/>
      <c r="EP405" s="399"/>
      <c r="EQ405" s="399"/>
      <c r="ER405" s="399"/>
      <c r="ES405" s="399"/>
      <c r="ET405" s="399"/>
      <c r="EU405" s="399"/>
      <c r="EV405" s="399">
        <v>218</v>
      </c>
      <c r="EW405" s="399"/>
      <c r="EX405" s="399"/>
      <c r="EY405" s="399"/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404</v>
      </c>
      <c r="B406" s="399" t="s">
        <v>956</v>
      </c>
      <c r="C406" s="399" t="s">
        <v>2328</v>
      </c>
      <c r="D406" s="399" t="s">
        <v>2335</v>
      </c>
      <c r="E406" s="399" t="s">
        <v>894</v>
      </c>
      <c r="F406" s="399" t="s">
        <v>2363</v>
      </c>
      <c r="G406" s="399" t="s">
        <v>2340</v>
      </c>
      <c r="H406" s="399" t="s">
        <v>1239</v>
      </c>
      <c r="I406" s="399" t="s">
        <v>1239</v>
      </c>
      <c r="J406" s="399" t="s">
        <v>2329</v>
      </c>
      <c r="K406" s="789">
        <v>44652</v>
      </c>
      <c r="L406" s="399">
        <v>0</v>
      </c>
      <c r="M406" s="399">
        <v>0</v>
      </c>
      <c r="N406" s="399">
        <v>3.0859999999999999</v>
      </c>
      <c r="O406" s="399">
        <v>3.0859999999999999</v>
      </c>
      <c r="P406" s="399">
        <v>3.0859999999999999</v>
      </c>
      <c r="Q406" s="399">
        <v>3.0859999999999999</v>
      </c>
      <c r="R406" s="399"/>
      <c r="S406" s="399">
        <v>521.86</v>
      </c>
      <c r="T406" s="399">
        <v>141.32</v>
      </c>
      <c r="U406" s="399"/>
      <c r="V406" s="399">
        <v>2046.5734799999998</v>
      </c>
      <c r="W406" s="399">
        <v>2046.5734799999998</v>
      </c>
      <c r="X406" s="399">
        <v>1599.5663799999998</v>
      </c>
      <c r="Y406" s="399">
        <v>0</v>
      </c>
      <c r="Z406" s="399">
        <v>187.24935313501476</v>
      </c>
      <c r="AA406" s="399">
        <v>0</v>
      </c>
      <c r="AB406" s="399">
        <v>0</v>
      </c>
      <c r="AC406" s="399">
        <v>0</v>
      </c>
      <c r="AD406" s="399">
        <v>331.91103366096183</v>
      </c>
      <c r="AE406" s="399">
        <v>1002.7981529319114</v>
      </c>
      <c r="AF406" s="399">
        <v>436.11021807870884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28.952828388928456</v>
      </c>
      <c r="AM406" s="399"/>
      <c r="AN406" s="399">
        <v>4.2798705852061643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55.254515261935815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>
        <v>191.94919999999999</v>
      </c>
      <c r="BS406" s="399"/>
      <c r="BT406" s="399"/>
      <c r="BU406" s="399"/>
      <c r="BV406" s="399">
        <v>491.36473334064465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1409.4416999999999</v>
      </c>
      <c r="CJ406" s="399">
        <v>-391.54704000000015</v>
      </c>
      <c r="CK406" s="399"/>
      <c r="CL406" s="399"/>
      <c r="CM406" s="399"/>
      <c r="CN406" s="399"/>
      <c r="CO406" s="399">
        <v>-447.00710000000004</v>
      </c>
      <c r="CP406" s="399">
        <v>0</v>
      </c>
      <c r="CQ406" s="399">
        <v>30</v>
      </c>
      <c r="CR406" s="399">
        <v>-13.750405490679668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-1.5807937260948393</v>
      </c>
      <c r="DA406" s="399">
        <v>0</v>
      </c>
      <c r="DB406" s="399">
        <v>0</v>
      </c>
      <c r="DC406" s="399">
        <v>0</v>
      </c>
      <c r="DD406" s="399">
        <v>0</v>
      </c>
      <c r="DE406" s="399">
        <v>0</v>
      </c>
      <c r="DF406" s="399">
        <v>0</v>
      </c>
      <c r="DG406" s="399">
        <v>0</v>
      </c>
      <c r="DH406" s="399">
        <v>0</v>
      </c>
      <c r="DI406" s="399">
        <v>-10.550314138809199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-1.4467207897157515</v>
      </c>
      <c r="DP406" s="399">
        <v>-0.17257683605997975</v>
      </c>
      <c r="DQ406" s="399">
        <v>0</v>
      </c>
      <c r="DR406" s="399">
        <v>0</v>
      </c>
      <c r="DS406" s="399"/>
      <c r="DT406" s="399"/>
      <c r="DU406" s="399"/>
      <c r="DV406" s="399">
        <v>1002.7981529319114</v>
      </c>
      <c r="DW406" s="399">
        <v>0</v>
      </c>
      <c r="DX406" s="399">
        <v>0</v>
      </c>
      <c r="DY406" s="399">
        <v>-447.00710000000004</v>
      </c>
      <c r="DZ406" s="399">
        <v>0</v>
      </c>
      <c r="EA406" s="399">
        <v>0</v>
      </c>
      <c r="EB406" s="399">
        <v>0</v>
      </c>
      <c r="EC406" s="399">
        <v>-433.22824042853711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218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405</v>
      </c>
      <c r="B407" s="399" t="s">
        <v>2361</v>
      </c>
      <c r="C407" s="399" t="s">
        <v>2328</v>
      </c>
      <c r="D407" s="399" t="s">
        <v>2335</v>
      </c>
      <c r="E407" s="399" t="s">
        <v>894</v>
      </c>
      <c r="F407" s="399" t="s">
        <v>2363</v>
      </c>
      <c r="G407" s="399" t="s">
        <v>2340</v>
      </c>
      <c r="H407" s="399" t="s">
        <v>1239</v>
      </c>
      <c r="I407" s="399" t="s">
        <v>1239</v>
      </c>
      <c r="J407" s="399" t="s">
        <v>2329</v>
      </c>
      <c r="K407" s="789">
        <v>44652</v>
      </c>
      <c r="L407" s="399">
        <v>0</v>
      </c>
      <c r="M407" s="399">
        <v>0</v>
      </c>
      <c r="N407" s="399">
        <v>0.23699999999999999</v>
      </c>
      <c r="O407" s="399">
        <v>0.23699999999999999</v>
      </c>
      <c r="P407" s="399">
        <v>0.23699999999999999</v>
      </c>
      <c r="Q407" s="399">
        <v>0.23699999999999999</v>
      </c>
      <c r="R407" s="399"/>
      <c r="S407" s="399">
        <v>521.86</v>
      </c>
      <c r="T407" s="399">
        <v>141.32</v>
      </c>
      <c r="U407" s="399"/>
      <c r="V407" s="399">
        <v>157.17365999999998</v>
      </c>
      <c r="W407" s="399">
        <v>157.17365999999998</v>
      </c>
      <c r="X407" s="399">
        <v>122.84420999999998</v>
      </c>
      <c r="Y407" s="399">
        <v>0</v>
      </c>
      <c r="Z407" s="399">
        <v>14.380459070965163</v>
      </c>
      <c r="AA407" s="399">
        <v>0</v>
      </c>
      <c r="AB407" s="399">
        <v>0</v>
      </c>
      <c r="AC407" s="399">
        <v>0</v>
      </c>
      <c r="AD407" s="399">
        <v>25.490251126911197</v>
      </c>
      <c r="AE407" s="399">
        <v>77.013338381355481</v>
      </c>
      <c r="AF407" s="399">
        <v>33.492586417580682</v>
      </c>
      <c r="AG407" s="399">
        <v>0</v>
      </c>
      <c r="AH407" s="399">
        <v>0</v>
      </c>
      <c r="AI407" s="399">
        <v>0</v>
      </c>
      <c r="AJ407" s="399">
        <v>0</v>
      </c>
      <c r="AK407" s="399">
        <v>0</v>
      </c>
      <c r="AL407" s="399">
        <v>2.2235321867064304</v>
      </c>
      <c r="AM407" s="399"/>
      <c r="AN407" s="399">
        <v>0.32868740398375274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4.2434608286062172</v>
      </c>
      <c r="BH407" s="399">
        <v>0</v>
      </c>
      <c r="BI407" s="399">
        <v>0</v>
      </c>
      <c r="BJ407" s="399">
        <v>0</v>
      </c>
      <c r="BK407" s="399">
        <v>0</v>
      </c>
      <c r="BL407" s="399">
        <v>0</v>
      </c>
      <c r="BM407" s="399"/>
      <c r="BN407" s="399"/>
      <c r="BO407" s="399"/>
      <c r="BP407" s="399"/>
      <c r="BQ407" s="399"/>
      <c r="BR407" s="399">
        <v>14.741400000000001</v>
      </c>
      <c r="BS407" s="399"/>
      <c r="BT407" s="399"/>
      <c r="BU407" s="399"/>
      <c r="BV407" s="399">
        <v>37.736047246186899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109.4712</v>
      </c>
      <c r="CJ407" s="399">
        <v>-28.869629999999987</v>
      </c>
      <c r="CK407" s="399"/>
      <c r="CL407" s="399"/>
      <c r="CM407" s="399"/>
      <c r="CN407" s="399"/>
      <c r="CO407" s="399">
        <v>-34.329450000000001</v>
      </c>
      <c r="CP407" s="399">
        <v>0</v>
      </c>
      <c r="CQ407" s="399">
        <v>30</v>
      </c>
      <c r="CR407" s="399">
        <v>-1.0560097541448528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-0.12140249937928616</v>
      </c>
      <c r="DA407" s="399">
        <v>0</v>
      </c>
      <c r="DB407" s="399">
        <v>0</v>
      </c>
      <c r="DC407" s="399">
        <v>0</v>
      </c>
      <c r="DD407" s="399">
        <v>0</v>
      </c>
      <c r="DE407" s="399">
        <v>0</v>
      </c>
      <c r="DF407" s="399">
        <v>0</v>
      </c>
      <c r="DG407" s="399">
        <v>0</v>
      </c>
      <c r="DH407" s="399">
        <v>0</v>
      </c>
      <c r="DI407" s="399">
        <v>-0.81024771578022481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-0.11110590640396412</v>
      </c>
      <c r="DP407" s="399">
        <v>-1.3253632581404773E-2</v>
      </c>
      <c r="DQ407" s="399">
        <v>0</v>
      </c>
      <c r="DR407" s="399">
        <v>0</v>
      </c>
      <c r="DS407" s="399"/>
      <c r="DT407" s="399"/>
      <c r="DU407" s="399"/>
      <c r="DV407" s="399">
        <v>77.013338381355481</v>
      </c>
      <c r="DW407" s="399">
        <v>0</v>
      </c>
      <c r="DX407" s="399">
        <v>0</v>
      </c>
      <c r="DY407" s="399">
        <v>-34.329450000000008</v>
      </c>
      <c r="DZ407" s="399">
        <v>0</v>
      </c>
      <c r="EA407" s="399">
        <v>0</v>
      </c>
      <c r="EB407" s="399">
        <v>0</v>
      </c>
      <c r="EC407" s="399">
        <v>-33.271255016708778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218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406</v>
      </c>
      <c r="B408" s="399" t="s">
        <v>956</v>
      </c>
      <c r="C408" s="399" t="s">
        <v>2328</v>
      </c>
      <c r="D408" s="399" t="s">
        <v>2335</v>
      </c>
      <c r="E408" s="399" t="s">
        <v>894</v>
      </c>
      <c r="F408" s="399" t="s">
        <v>2363</v>
      </c>
      <c r="G408" s="399" t="s">
        <v>2341</v>
      </c>
      <c r="H408" s="399" t="s">
        <v>1239</v>
      </c>
      <c r="I408" s="399" t="s">
        <v>1239</v>
      </c>
      <c r="J408" s="399" t="s">
        <v>2329</v>
      </c>
      <c r="K408" s="789">
        <v>44652</v>
      </c>
      <c r="L408" s="399">
        <v>0</v>
      </c>
      <c r="M408" s="399">
        <v>0</v>
      </c>
      <c r="N408" s="399">
        <v>1.518</v>
      </c>
      <c r="O408" s="399">
        <v>0.60719999999999996</v>
      </c>
      <c r="P408" s="399">
        <v>1.518</v>
      </c>
      <c r="Q408" s="399">
        <v>0.60719999999999996</v>
      </c>
      <c r="R408" s="399"/>
      <c r="S408" s="399">
        <v>521.86</v>
      </c>
      <c r="T408" s="399">
        <v>141.32</v>
      </c>
      <c r="U408" s="399"/>
      <c r="V408" s="399">
        <v>1006.70724</v>
      </c>
      <c r="W408" s="399">
        <v>1006.70724</v>
      </c>
      <c r="X408" s="399">
        <v>786.82493999999997</v>
      </c>
      <c r="Y408" s="399">
        <v>0</v>
      </c>
      <c r="Z408" s="399">
        <v>92.107750505169278</v>
      </c>
      <c r="AA408" s="399">
        <v>0</v>
      </c>
      <c r="AB408" s="399">
        <v>0</v>
      </c>
      <c r="AC408" s="399">
        <v>0</v>
      </c>
      <c r="AD408" s="399">
        <v>163.26667177489958</v>
      </c>
      <c r="AE408" s="399">
        <v>493.27530659450474</v>
      </c>
      <c r="AF408" s="399">
        <v>214.52213578855478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14.241864385739923</v>
      </c>
      <c r="AM408" s="399"/>
      <c r="AN408" s="399">
        <v>2.1052636255161885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27.179635180692991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/>
      <c r="BR408" s="399"/>
      <c r="BS408" s="399">
        <v>509.86280399999998</v>
      </c>
      <c r="BT408" s="399"/>
      <c r="BU408" s="399"/>
      <c r="BV408" s="399">
        <v>241.70177096924778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278.23929999999996</v>
      </c>
      <c r="CJ408" s="399">
        <v>-76.146547999999996</v>
      </c>
      <c r="CK408" s="399"/>
      <c r="CL408" s="399"/>
      <c r="CM408" s="399"/>
      <c r="CN408" s="399"/>
      <c r="CO408" s="399">
        <v>-219.88230000000004</v>
      </c>
      <c r="CP408" s="399">
        <v>0</v>
      </c>
      <c r="CQ408" s="399">
        <v>30</v>
      </c>
      <c r="CR408" s="399">
        <v>-6.7638093113584432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-0.77759069222682342</v>
      </c>
      <c r="DA408" s="399">
        <v>0</v>
      </c>
      <c r="DB408" s="399">
        <v>0</v>
      </c>
      <c r="DC408" s="399">
        <v>0</v>
      </c>
      <c r="DD408" s="399">
        <v>0</v>
      </c>
      <c r="DE408" s="399">
        <v>0</v>
      </c>
      <c r="DF408" s="399">
        <v>0</v>
      </c>
      <c r="DG408" s="399">
        <v>0</v>
      </c>
      <c r="DH408" s="399">
        <v>0</v>
      </c>
      <c r="DI408" s="399">
        <v>-5.1896879010733414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-0.71164036253678375</v>
      </c>
      <c r="DP408" s="399">
        <v>-8.4890355521402672E-2</v>
      </c>
      <c r="DQ408" s="399">
        <v>0</v>
      </c>
      <c r="DR408" s="399">
        <v>0</v>
      </c>
      <c r="DS408" s="399"/>
      <c r="DT408" s="399"/>
      <c r="DU408" s="399"/>
      <c r="DV408" s="399">
        <v>493.27530659450474</v>
      </c>
      <c r="DW408" s="399">
        <v>0</v>
      </c>
      <c r="DX408" s="399">
        <v>0</v>
      </c>
      <c r="DY408" s="399">
        <v>-219.88229999999999</v>
      </c>
      <c r="DZ408" s="399">
        <v>0</v>
      </c>
      <c r="EA408" s="399">
        <v>0</v>
      </c>
      <c r="EB408" s="399">
        <v>0</v>
      </c>
      <c r="EC408" s="399">
        <v>-213.10449415765368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218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407</v>
      </c>
      <c r="B409" s="399" t="s">
        <v>2361</v>
      </c>
      <c r="C409" s="399" t="s">
        <v>2328</v>
      </c>
      <c r="D409" s="399" t="s">
        <v>2335</v>
      </c>
      <c r="E409" s="399" t="s">
        <v>894</v>
      </c>
      <c r="F409" s="399" t="s">
        <v>2363</v>
      </c>
      <c r="G409" s="399" t="s">
        <v>2341</v>
      </c>
      <c r="H409" s="399" t="s">
        <v>1239</v>
      </c>
      <c r="I409" s="399" t="s">
        <v>1239</v>
      </c>
      <c r="J409" s="399" t="s">
        <v>2329</v>
      </c>
      <c r="K409" s="789">
        <v>44652</v>
      </c>
      <c r="L409" s="399">
        <v>0</v>
      </c>
      <c r="M409" s="399">
        <v>0</v>
      </c>
      <c r="N409" s="399">
        <v>4.7E-2</v>
      </c>
      <c r="O409" s="399">
        <v>1.8800000000000001E-2</v>
      </c>
      <c r="P409" s="399">
        <v>4.7E-2</v>
      </c>
      <c r="Q409" s="399">
        <v>1.8800000000000001E-2</v>
      </c>
      <c r="R409" s="399"/>
      <c r="S409" s="399">
        <v>521.86</v>
      </c>
      <c r="T409" s="399">
        <v>141.32</v>
      </c>
      <c r="U409" s="399"/>
      <c r="V409" s="399">
        <v>31.169460000000001</v>
      </c>
      <c r="W409" s="399">
        <v>31.169460000000001</v>
      </c>
      <c r="X409" s="399">
        <v>24.361510000000003</v>
      </c>
      <c r="Y409" s="399">
        <v>0</v>
      </c>
      <c r="Z409" s="399">
        <v>2.8518209971956234</v>
      </c>
      <c r="AA409" s="399">
        <v>0</v>
      </c>
      <c r="AB409" s="399">
        <v>0</v>
      </c>
      <c r="AC409" s="399">
        <v>0</v>
      </c>
      <c r="AD409" s="399">
        <v>5.0550287044929378</v>
      </c>
      <c r="AE409" s="399">
        <v>15.272687358327881</v>
      </c>
      <c r="AF409" s="399">
        <v>6.6419897115033431</v>
      </c>
      <c r="AG409" s="399">
        <v>0</v>
      </c>
      <c r="AH409" s="399">
        <v>0</v>
      </c>
      <c r="AI409" s="399">
        <v>0</v>
      </c>
      <c r="AJ409" s="399">
        <v>0</v>
      </c>
      <c r="AK409" s="399">
        <v>0</v>
      </c>
      <c r="AL409" s="399">
        <v>0.44095364040169721</v>
      </c>
      <c r="AM409" s="399"/>
      <c r="AN409" s="399">
        <v>6.5182734123360245E-2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0.84153020651684485</v>
      </c>
      <c r="BH409" s="399">
        <v>0</v>
      </c>
      <c r="BI409" s="399">
        <v>0</v>
      </c>
      <c r="BJ409" s="399">
        <v>0</v>
      </c>
      <c r="BK409" s="399">
        <v>0</v>
      </c>
      <c r="BL409" s="399">
        <v>0</v>
      </c>
      <c r="BM409" s="399"/>
      <c r="BN409" s="399"/>
      <c r="BO409" s="399"/>
      <c r="BP409" s="399"/>
      <c r="BQ409" s="399"/>
      <c r="BR409" s="399"/>
      <c r="BS409" s="399">
        <v>15.786265999999998</v>
      </c>
      <c r="BT409" s="399"/>
      <c r="BU409" s="399"/>
      <c r="BV409" s="399">
        <v>7.4835199180201881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9.1226000000000003</v>
      </c>
      <c r="CJ409" s="399">
        <v>-1.8788920000000005</v>
      </c>
      <c r="CK409" s="399"/>
      <c r="CL409" s="399"/>
      <c r="CM409" s="399"/>
      <c r="CN409" s="399"/>
      <c r="CO409" s="399">
        <v>-6.8079500000000008</v>
      </c>
      <c r="CP409" s="399">
        <v>0</v>
      </c>
      <c r="CQ409" s="399">
        <v>30</v>
      </c>
      <c r="CR409" s="399">
        <v>-0.20941965588527012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-2.4075601142727443E-2</v>
      </c>
      <c r="DA409" s="399">
        <v>0</v>
      </c>
      <c r="DB409" s="399">
        <v>0</v>
      </c>
      <c r="DC409" s="399">
        <v>0</v>
      </c>
      <c r="DD409" s="399">
        <v>0</v>
      </c>
      <c r="DE409" s="399">
        <v>0</v>
      </c>
      <c r="DF409" s="399">
        <v>0</v>
      </c>
      <c r="DG409" s="399">
        <v>0</v>
      </c>
      <c r="DH409" s="399">
        <v>0</v>
      </c>
      <c r="DI409" s="399">
        <v>-0.16068203646274526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-2.2033660763655372E-2</v>
      </c>
      <c r="DP409" s="399">
        <v>-2.6283575161435563E-3</v>
      </c>
      <c r="DQ409" s="399">
        <v>0</v>
      </c>
      <c r="DR409" s="399">
        <v>0</v>
      </c>
      <c r="DS409" s="399"/>
      <c r="DT409" s="399"/>
      <c r="DU409" s="399"/>
      <c r="DV409" s="399">
        <v>15.272687358327881</v>
      </c>
      <c r="DW409" s="399">
        <v>0</v>
      </c>
      <c r="DX409" s="399">
        <v>0</v>
      </c>
      <c r="DY409" s="399">
        <v>-6.8079499999999982</v>
      </c>
      <c r="DZ409" s="399">
        <v>0</v>
      </c>
      <c r="EA409" s="399">
        <v>0</v>
      </c>
      <c r="EB409" s="399">
        <v>0</v>
      </c>
      <c r="EC409" s="399">
        <v>-6.5980969864359178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218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408</v>
      </c>
      <c r="B410" s="399" t="s">
        <v>956</v>
      </c>
      <c r="C410" s="399" t="s">
        <v>2328</v>
      </c>
      <c r="D410" s="399" t="s">
        <v>2335</v>
      </c>
      <c r="E410" s="399" t="s">
        <v>894</v>
      </c>
      <c r="F410" s="399" t="s">
        <v>2342</v>
      </c>
      <c r="G410" s="399" t="s">
        <v>2340</v>
      </c>
      <c r="H410" s="399" t="s">
        <v>1239</v>
      </c>
      <c r="I410" s="399" t="s">
        <v>1239</v>
      </c>
      <c r="J410" s="399" t="s">
        <v>2329</v>
      </c>
      <c r="K410" s="789">
        <v>44652</v>
      </c>
      <c r="L410" s="399">
        <v>0</v>
      </c>
      <c r="M410" s="399">
        <v>0</v>
      </c>
      <c r="N410" s="399">
        <v>0</v>
      </c>
      <c r="O410" s="399">
        <v>0</v>
      </c>
      <c r="P410" s="399">
        <v>0</v>
      </c>
      <c r="Q410" s="399">
        <v>0</v>
      </c>
      <c r="R410" s="399"/>
      <c r="S410" s="399"/>
      <c r="T410" s="399"/>
      <c r="U410" s="399"/>
      <c r="V410" s="399"/>
      <c r="W410" s="399"/>
      <c r="X410" s="399"/>
      <c r="Y410" s="399"/>
      <c r="Z410" s="399"/>
      <c r="AA410" s="399">
        <v>0</v>
      </c>
      <c r="AB410" s="399"/>
      <c r="AC410" s="399"/>
      <c r="AD410" s="399"/>
      <c r="AE410" s="399"/>
      <c r="AF410" s="399"/>
      <c r="AG410" s="399"/>
      <c r="AH410" s="399"/>
      <c r="AI410" s="399"/>
      <c r="AJ410" s="399"/>
      <c r="AK410" s="399"/>
      <c r="AL410" s="399"/>
      <c r="AM410" s="399"/>
      <c r="AN410" s="399"/>
      <c r="AO410" s="399"/>
      <c r="AP410" s="399"/>
      <c r="AQ410" s="399"/>
      <c r="AR410" s="399"/>
      <c r="AS410" s="399"/>
      <c r="AT410" s="399"/>
      <c r="AU410" s="399"/>
      <c r="AV410" s="399"/>
      <c r="AW410" s="399"/>
      <c r="AX410" s="399"/>
      <c r="AY410" s="399"/>
      <c r="AZ410" s="399">
        <v>0</v>
      </c>
      <c r="BA410" s="399"/>
      <c r="BB410" s="399"/>
      <c r="BC410" s="399"/>
      <c r="BD410" s="399"/>
      <c r="BE410" s="399"/>
      <c r="BF410" s="399"/>
      <c r="BG410" s="399"/>
      <c r="BH410" s="399"/>
      <c r="BI410" s="399">
        <v>61.92</v>
      </c>
      <c r="BJ410" s="399">
        <v>286.14</v>
      </c>
      <c r="BK410" s="399">
        <v>2388.92</v>
      </c>
      <c r="BL410" s="399">
        <v>15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/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/>
      <c r="CJ410" s="399">
        <v>-0.03</v>
      </c>
      <c r="CK410" s="399"/>
      <c r="CL410" s="399"/>
      <c r="CM410" s="399"/>
      <c r="CN410" s="399"/>
      <c r="CO410" s="399">
        <v>0</v>
      </c>
      <c r="CP410" s="399">
        <v>0</v>
      </c>
      <c r="CQ410" s="399">
        <v>30</v>
      </c>
      <c r="CR410" s="399"/>
      <c r="CS410" s="399"/>
      <c r="CT410" s="399"/>
      <c r="CU410" s="399"/>
      <c r="CV410" s="399"/>
      <c r="CW410" s="399"/>
      <c r="CX410" s="399"/>
      <c r="CY410" s="399"/>
      <c r="CZ410" s="399"/>
      <c r="DA410" s="399"/>
      <c r="DB410" s="399"/>
      <c r="DC410" s="399"/>
      <c r="DD410" s="399"/>
      <c r="DE410" s="399"/>
      <c r="DF410" s="399"/>
      <c r="DG410" s="399"/>
      <c r="DH410" s="399"/>
      <c r="DI410" s="399"/>
      <c r="DJ410" s="399"/>
      <c r="DK410" s="399">
        <v>0</v>
      </c>
      <c r="DL410" s="399"/>
      <c r="DM410" s="399"/>
      <c r="DN410" s="399"/>
      <c r="DO410" s="399"/>
      <c r="DP410" s="399"/>
      <c r="DQ410" s="399"/>
      <c r="DR410" s="399"/>
      <c r="DS410" s="399"/>
      <c r="DT410" s="399"/>
      <c r="DU410" s="399"/>
      <c r="DV410" s="399"/>
      <c r="DW410" s="399"/>
      <c r="DX410" s="399"/>
      <c r="DY410" s="399"/>
      <c r="DZ410" s="399"/>
      <c r="EA410" s="399"/>
      <c r="EB410" s="399"/>
      <c r="EC410" s="399"/>
      <c r="ED410" s="399"/>
      <c r="EE410" s="399"/>
      <c r="EF410" s="399"/>
      <c r="EG410" s="399"/>
      <c r="EH410" s="399"/>
      <c r="EI410" s="399"/>
      <c r="EJ410" s="399"/>
      <c r="EK410" s="399"/>
      <c r="EL410" s="399"/>
      <c r="EM410" s="399"/>
      <c r="EN410" s="399"/>
      <c r="EO410" s="399"/>
      <c r="EP410" s="399"/>
      <c r="EQ410" s="399"/>
      <c r="ER410" s="399"/>
      <c r="ES410" s="399"/>
      <c r="ET410" s="399"/>
      <c r="EU410" s="399"/>
      <c r="EV410" s="399">
        <v>218</v>
      </c>
      <c r="EW410" s="399"/>
      <c r="EX410" s="399"/>
      <c r="EY410" s="399"/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409</v>
      </c>
      <c r="B411" s="399" t="s">
        <v>2361</v>
      </c>
      <c r="C411" s="399" t="s">
        <v>2328</v>
      </c>
      <c r="D411" s="399" t="s">
        <v>2335</v>
      </c>
      <c r="E411" s="399" t="s">
        <v>894</v>
      </c>
      <c r="F411" s="399" t="s">
        <v>2342</v>
      </c>
      <c r="G411" s="399" t="s">
        <v>2340</v>
      </c>
      <c r="H411" s="399" t="s">
        <v>1239</v>
      </c>
      <c r="I411" s="399" t="s">
        <v>1239</v>
      </c>
      <c r="J411" s="399" t="s">
        <v>2329</v>
      </c>
      <c r="K411" s="789">
        <v>44652</v>
      </c>
      <c r="L411" s="399">
        <v>0</v>
      </c>
      <c r="M411" s="399">
        <v>0</v>
      </c>
      <c r="N411" s="399">
        <v>0</v>
      </c>
      <c r="O411" s="399">
        <v>0</v>
      </c>
      <c r="P411" s="399">
        <v>0</v>
      </c>
      <c r="Q411" s="399">
        <v>0</v>
      </c>
      <c r="R411" s="399"/>
      <c r="S411" s="399"/>
      <c r="T411" s="399"/>
      <c r="U411" s="399"/>
      <c r="V411" s="399"/>
      <c r="W411" s="399"/>
      <c r="X411" s="399"/>
      <c r="Y411" s="399"/>
      <c r="Z411" s="399"/>
      <c r="AA411" s="399">
        <v>0</v>
      </c>
      <c r="AB411" s="399"/>
      <c r="AC411" s="399"/>
      <c r="AD411" s="399"/>
      <c r="AE411" s="399"/>
      <c r="AF411" s="399"/>
      <c r="AG411" s="399"/>
      <c r="AH411" s="399"/>
      <c r="AI411" s="399"/>
      <c r="AJ411" s="399"/>
      <c r="AK411" s="399"/>
      <c r="AL411" s="399"/>
      <c r="AM411" s="399"/>
      <c r="AN411" s="399"/>
      <c r="AO411" s="399"/>
      <c r="AP411" s="399"/>
      <c r="AQ411" s="399"/>
      <c r="AR411" s="399"/>
      <c r="AS411" s="399"/>
      <c r="AT411" s="399"/>
      <c r="AU411" s="399"/>
      <c r="AV411" s="399"/>
      <c r="AW411" s="399"/>
      <c r="AX411" s="399"/>
      <c r="AY411" s="399"/>
      <c r="AZ411" s="399">
        <v>0</v>
      </c>
      <c r="BA411" s="399"/>
      <c r="BB411" s="399"/>
      <c r="BC411" s="399"/>
      <c r="BD411" s="399"/>
      <c r="BE411" s="399"/>
      <c r="BF411" s="399"/>
      <c r="BG411" s="399"/>
      <c r="BH411" s="399"/>
      <c r="BI411" s="399">
        <v>22.37</v>
      </c>
      <c r="BJ411" s="399">
        <v>103.37</v>
      </c>
      <c r="BK411" s="399">
        <v>744</v>
      </c>
      <c r="BL411" s="399">
        <v>3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/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/>
      <c r="CJ411" s="399">
        <v>-0.03</v>
      </c>
      <c r="CK411" s="399"/>
      <c r="CL411" s="399"/>
      <c r="CM411" s="399"/>
      <c r="CN411" s="399"/>
      <c r="CO411" s="399">
        <v>0</v>
      </c>
      <c r="CP411" s="399">
        <v>0</v>
      </c>
      <c r="CQ411" s="399">
        <v>30</v>
      </c>
      <c r="CR411" s="399"/>
      <c r="CS411" s="399"/>
      <c r="CT411" s="399"/>
      <c r="CU411" s="399"/>
      <c r="CV411" s="399"/>
      <c r="CW411" s="399"/>
      <c r="CX411" s="399"/>
      <c r="CY411" s="399"/>
      <c r="CZ411" s="399"/>
      <c r="DA411" s="399"/>
      <c r="DB411" s="399"/>
      <c r="DC411" s="399"/>
      <c r="DD411" s="399"/>
      <c r="DE411" s="399"/>
      <c r="DF411" s="399"/>
      <c r="DG411" s="399"/>
      <c r="DH411" s="399"/>
      <c r="DI411" s="399"/>
      <c r="DJ411" s="399"/>
      <c r="DK411" s="399">
        <v>0</v>
      </c>
      <c r="DL411" s="399"/>
      <c r="DM411" s="399"/>
      <c r="DN411" s="399"/>
      <c r="DO411" s="399"/>
      <c r="DP411" s="399"/>
      <c r="DQ411" s="399"/>
      <c r="DR411" s="399"/>
      <c r="DS411" s="399"/>
      <c r="DT411" s="399"/>
      <c r="DU411" s="399"/>
      <c r="DV411" s="399"/>
      <c r="DW411" s="399"/>
      <c r="DX411" s="399"/>
      <c r="DY411" s="399"/>
      <c r="DZ411" s="399"/>
      <c r="EA411" s="399"/>
      <c r="EB411" s="399"/>
      <c r="EC411" s="399"/>
      <c r="ED411" s="399"/>
      <c r="EE411" s="399"/>
      <c r="EF411" s="399"/>
      <c r="EG411" s="399"/>
      <c r="EH411" s="399"/>
      <c r="EI411" s="399"/>
      <c r="EJ411" s="399"/>
      <c r="EK411" s="399"/>
      <c r="EL411" s="399"/>
      <c r="EM411" s="399"/>
      <c r="EN411" s="399"/>
      <c r="EO411" s="399"/>
      <c r="EP411" s="399"/>
      <c r="EQ411" s="399"/>
      <c r="ER411" s="399"/>
      <c r="ES411" s="399"/>
      <c r="ET411" s="399"/>
      <c r="EU411" s="399"/>
      <c r="EV411" s="399">
        <v>218</v>
      </c>
      <c r="EW411" s="399"/>
      <c r="EX411" s="399"/>
      <c r="EY411" s="399"/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410</v>
      </c>
      <c r="B412" s="399" t="s">
        <v>956</v>
      </c>
      <c r="C412" s="399" t="s">
        <v>2328</v>
      </c>
      <c r="D412" s="399" t="s">
        <v>2335</v>
      </c>
      <c r="E412" s="399" t="s">
        <v>894</v>
      </c>
      <c r="F412" s="399" t="s">
        <v>2342</v>
      </c>
      <c r="G412" s="399" t="s">
        <v>2340</v>
      </c>
      <c r="H412" s="399" t="s">
        <v>1239</v>
      </c>
      <c r="I412" s="399" t="s">
        <v>1239</v>
      </c>
      <c r="J412" s="399" t="s">
        <v>2329</v>
      </c>
      <c r="K412" s="789">
        <v>44652</v>
      </c>
      <c r="L412" s="399">
        <v>0</v>
      </c>
      <c r="M412" s="399">
        <v>0</v>
      </c>
      <c r="N412" s="399">
        <v>6.8460000000000001</v>
      </c>
      <c r="O412" s="399">
        <v>6.8460000000000001</v>
      </c>
      <c r="P412" s="399">
        <v>6.8460000000000001</v>
      </c>
      <c r="Q412" s="399">
        <v>6.8460000000000001</v>
      </c>
      <c r="R412" s="399"/>
      <c r="S412" s="399">
        <v>521.86</v>
      </c>
      <c r="T412" s="399">
        <v>141.32</v>
      </c>
      <c r="U412" s="399"/>
      <c r="V412" s="399">
        <v>4540.1302800000003</v>
      </c>
      <c r="W412" s="399">
        <v>4540.1302800000003</v>
      </c>
      <c r="X412" s="399">
        <v>3548.4871800000001</v>
      </c>
      <c r="Y412" s="399">
        <v>0</v>
      </c>
      <c r="Z412" s="399">
        <v>415.39503291066461</v>
      </c>
      <c r="AA412" s="399">
        <v>0</v>
      </c>
      <c r="AB412" s="399">
        <v>0</v>
      </c>
      <c r="AC412" s="399">
        <v>0</v>
      </c>
      <c r="AD412" s="399">
        <v>736.31333002039685</v>
      </c>
      <c r="AE412" s="399">
        <v>2224.6131415981417</v>
      </c>
      <c r="AF412" s="399">
        <v>967.46939499897621</v>
      </c>
      <c r="AG412" s="399">
        <v>0</v>
      </c>
      <c r="AH412" s="399">
        <v>0</v>
      </c>
      <c r="AI412" s="399">
        <v>0</v>
      </c>
      <c r="AJ412" s="399">
        <v>0</v>
      </c>
      <c r="AK412" s="399">
        <v>0</v>
      </c>
      <c r="AL412" s="399">
        <v>64.229119621064228</v>
      </c>
      <c r="AM412" s="399"/>
      <c r="AN412" s="399">
        <v>9.4944893150749845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122.57693178328341</v>
      </c>
      <c r="BH412" s="399">
        <v>0</v>
      </c>
      <c r="BI412" s="399">
        <v>0</v>
      </c>
      <c r="BJ412" s="399">
        <v>0</v>
      </c>
      <c r="BK412" s="399">
        <v>0</v>
      </c>
      <c r="BL412" s="399">
        <v>0</v>
      </c>
      <c r="BM412" s="399"/>
      <c r="BN412" s="399"/>
      <c r="BO412" s="399"/>
      <c r="BP412" s="399"/>
      <c r="BQ412" s="399"/>
      <c r="BR412" s="399">
        <v>425.82120000000003</v>
      </c>
      <c r="BS412" s="399"/>
      <c r="BT412" s="399"/>
      <c r="BU412" s="399"/>
      <c r="BV412" s="399">
        <v>1090.0463267822597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3124.4904999999999</v>
      </c>
      <c r="CJ412" s="399">
        <v>-870.79664000000093</v>
      </c>
      <c r="CK412" s="399"/>
      <c r="CL412" s="399"/>
      <c r="CM412" s="399"/>
      <c r="CN412" s="399"/>
      <c r="CO412" s="399">
        <v>-991.64310000000012</v>
      </c>
      <c r="CP412" s="399">
        <v>0</v>
      </c>
      <c r="CQ412" s="399">
        <v>30</v>
      </c>
      <c r="CR412" s="399">
        <v>-30.503977961501278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-3.5068418175130773</v>
      </c>
      <c r="DA412" s="399">
        <v>0</v>
      </c>
      <c r="DB412" s="399">
        <v>0</v>
      </c>
      <c r="DC412" s="399">
        <v>0</v>
      </c>
      <c r="DD412" s="399">
        <v>0</v>
      </c>
      <c r="DE412" s="399">
        <v>0</v>
      </c>
      <c r="DF412" s="399">
        <v>0</v>
      </c>
      <c r="DG412" s="399">
        <v>0</v>
      </c>
      <c r="DH412" s="399">
        <v>0</v>
      </c>
      <c r="DI412" s="399">
        <v>-23.404877055828763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-3.2094136508081732</v>
      </c>
      <c r="DP412" s="399">
        <v>-0.38284543735146492</v>
      </c>
      <c r="DQ412" s="399">
        <v>0</v>
      </c>
      <c r="DR412" s="399">
        <v>0</v>
      </c>
      <c r="DS412" s="399"/>
      <c r="DT412" s="399"/>
      <c r="DU412" s="399"/>
      <c r="DV412" s="399">
        <v>2224.6131415981417</v>
      </c>
      <c r="DW412" s="399">
        <v>0</v>
      </c>
      <c r="DX412" s="399">
        <v>0</v>
      </c>
      <c r="DY412" s="399">
        <v>-991.64310000000023</v>
      </c>
      <c r="DZ412" s="399">
        <v>0</v>
      </c>
      <c r="EA412" s="399">
        <v>0</v>
      </c>
      <c r="EB412" s="399">
        <v>0</v>
      </c>
      <c r="EC412" s="399">
        <v>-961.07599934341033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0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218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411</v>
      </c>
      <c r="B413" s="399" t="s">
        <v>2361</v>
      </c>
      <c r="C413" s="399" t="s">
        <v>2328</v>
      </c>
      <c r="D413" s="399" t="s">
        <v>2335</v>
      </c>
      <c r="E413" s="399" t="s">
        <v>894</v>
      </c>
      <c r="F413" s="399" t="s">
        <v>2342</v>
      </c>
      <c r="G413" s="399" t="s">
        <v>2340</v>
      </c>
      <c r="H413" s="399" t="s">
        <v>1239</v>
      </c>
      <c r="I413" s="399" t="s">
        <v>1239</v>
      </c>
      <c r="J413" s="399" t="s">
        <v>2329</v>
      </c>
      <c r="K413" s="789">
        <v>44652</v>
      </c>
      <c r="L413" s="399">
        <v>0</v>
      </c>
      <c r="M413" s="399">
        <v>0</v>
      </c>
      <c r="N413" s="399">
        <v>1.19</v>
      </c>
      <c r="O413" s="399">
        <v>1.19</v>
      </c>
      <c r="P413" s="399">
        <v>1.19</v>
      </c>
      <c r="Q413" s="399">
        <v>1.19</v>
      </c>
      <c r="R413" s="399"/>
      <c r="S413" s="399">
        <v>521.86</v>
      </c>
      <c r="T413" s="399">
        <v>141.32</v>
      </c>
      <c r="U413" s="399"/>
      <c r="V413" s="399">
        <v>789.18419999999992</v>
      </c>
      <c r="W413" s="399">
        <v>789.18419999999992</v>
      </c>
      <c r="X413" s="399">
        <v>616.81269999999995</v>
      </c>
      <c r="Y413" s="399">
        <v>0</v>
      </c>
      <c r="Z413" s="399">
        <v>72.205680567293442</v>
      </c>
      <c r="AA413" s="399">
        <v>0</v>
      </c>
      <c r="AB413" s="399">
        <v>0</v>
      </c>
      <c r="AC413" s="399">
        <v>0</v>
      </c>
      <c r="AD413" s="399">
        <v>127.98902464567225</v>
      </c>
      <c r="AE413" s="399">
        <v>386.69144588106758</v>
      </c>
      <c r="AF413" s="399">
        <v>168.16952673806335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11.164570895277013</v>
      </c>
      <c r="AM413" s="399"/>
      <c r="AN413" s="399">
        <v>1.6503713533361424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21.30682863308607</v>
      </c>
      <c r="BH413" s="399">
        <v>0</v>
      </c>
      <c r="BI413" s="399">
        <v>0</v>
      </c>
      <c r="BJ413" s="399">
        <v>0</v>
      </c>
      <c r="BK413" s="399">
        <v>0</v>
      </c>
      <c r="BL413" s="399">
        <v>0</v>
      </c>
      <c r="BM413" s="399"/>
      <c r="BN413" s="399"/>
      <c r="BO413" s="399"/>
      <c r="BP413" s="399"/>
      <c r="BQ413" s="399"/>
      <c r="BR413" s="399">
        <v>74.018000000000001</v>
      </c>
      <c r="BS413" s="399"/>
      <c r="BT413" s="399"/>
      <c r="BU413" s="399"/>
      <c r="BV413" s="399">
        <v>189.47635537114942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542.79469999999992</v>
      </c>
      <c r="CJ413" s="399">
        <v>-151.70740000000001</v>
      </c>
      <c r="CK413" s="399"/>
      <c r="CL413" s="399"/>
      <c r="CM413" s="399"/>
      <c r="CN413" s="399"/>
      <c r="CO413" s="399">
        <v>-172.37150000000003</v>
      </c>
      <c r="CP413" s="399">
        <v>0</v>
      </c>
      <c r="CQ413" s="399">
        <v>30</v>
      </c>
      <c r="CR413" s="399">
        <v>-5.3023274575207324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-0.60957373106055002</v>
      </c>
      <c r="DA413" s="399">
        <v>0</v>
      </c>
      <c r="DB413" s="399">
        <v>0</v>
      </c>
      <c r="DC413" s="399">
        <v>0</v>
      </c>
      <c r="DD413" s="399">
        <v>0</v>
      </c>
      <c r="DE413" s="399">
        <v>0</v>
      </c>
      <c r="DF413" s="399">
        <v>0</v>
      </c>
      <c r="DG413" s="399">
        <v>0</v>
      </c>
      <c r="DH413" s="399">
        <v>0</v>
      </c>
      <c r="DI413" s="399">
        <v>-4.0683324125673863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-0.55787353848403853</v>
      </c>
      <c r="DP413" s="399">
        <v>-6.654777540874135E-2</v>
      </c>
      <c r="DQ413" s="399">
        <v>0</v>
      </c>
      <c r="DR413" s="399">
        <v>0</v>
      </c>
      <c r="DS413" s="399"/>
      <c r="DT413" s="399"/>
      <c r="DU413" s="399"/>
      <c r="DV413" s="399">
        <v>386.69144588106758</v>
      </c>
      <c r="DW413" s="399">
        <v>0</v>
      </c>
      <c r="DX413" s="399">
        <v>0</v>
      </c>
      <c r="DY413" s="399">
        <v>-172.37149999999997</v>
      </c>
      <c r="DZ413" s="399">
        <v>0</v>
      </c>
      <c r="EA413" s="399">
        <v>0</v>
      </c>
      <c r="EB413" s="399">
        <v>0</v>
      </c>
      <c r="EC413" s="399">
        <v>-167.05820029486685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218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412</v>
      </c>
      <c r="B414" s="399" t="s">
        <v>956</v>
      </c>
      <c r="C414" s="399" t="s">
        <v>2328</v>
      </c>
      <c r="D414" s="399" t="s">
        <v>2335</v>
      </c>
      <c r="E414" s="399" t="s">
        <v>894</v>
      </c>
      <c r="F414" s="399" t="s">
        <v>2342</v>
      </c>
      <c r="G414" s="399" t="s">
        <v>2341</v>
      </c>
      <c r="H414" s="399" t="s">
        <v>1239</v>
      </c>
      <c r="I414" s="399" t="s">
        <v>1239</v>
      </c>
      <c r="J414" s="399" t="s">
        <v>2329</v>
      </c>
      <c r="K414" s="789">
        <v>44652</v>
      </c>
      <c r="L414" s="399">
        <v>0</v>
      </c>
      <c r="M414" s="399">
        <v>0</v>
      </c>
      <c r="N414" s="399">
        <v>8.1129999999999995</v>
      </c>
      <c r="O414" s="399">
        <v>3.2452000000000001</v>
      </c>
      <c r="P414" s="399">
        <v>8.1129999999999995</v>
      </c>
      <c r="Q414" s="399">
        <v>3.2452000000000001</v>
      </c>
      <c r="R414" s="399"/>
      <c r="S414" s="399">
        <v>521.86</v>
      </c>
      <c r="T414" s="399">
        <v>141.32</v>
      </c>
      <c r="U414" s="399"/>
      <c r="V414" s="399">
        <v>5380.3793399999995</v>
      </c>
      <c r="W414" s="399">
        <v>5380.3793399999995</v>
      </c>
      <c r="X414" s="399">
        <v>4205.2112899999993</v>
      </c>
      <c r="Y414" s="399">
        <v>0</v>
      </c>
      <c r="Z414" s="399">
        <v>492.27284574995934</v>
      </c>
      <c r="AA414" s="399">
        <v>0</v>
      </c>
      <c r="AB414" s="399">
        <v>0</v>
      </c>
      <c r="AC414" s="399">
        <v>0</v>
      </c>
      <c r="AD414" s="399">
        <v>872.58399743725965</v>
      </c>
      <c r="AE414" s="399">
        <v>2636.3257986832787</v>
      </c>
      <c r="AF414" s="399">
        <v>1146.5204793495025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76.116103927212109</v>
      </c>
      <c r="AM414" s="399"/>
      <c r="AN414" s="399">
        <v>11.251649403038758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145.26243756321622</v>
      </c>
      <c r="BH414" s="399">
        <v>0</v>
      </c>
      <c r="BI414" s="399">
        <v>0</v>
      </c>
      <c r="BJ414" s="399">
        <v>0</v>
      </c>
      <c r="BK414" s="399">
        <v>0</v>
      </c>
      <c r="BL414" s="399">
        <v>0</v>
      </c>
      <c r="BM414" s="399"/>
      <c r="BN414" s="399"/>
      <c r="BO414" s="399"/>
      <c r="BP414" s="399"/>
      <c r="BQ414" s="399"/>
      <c r="BR414" s="399"/>
      <c r="BS414" s="399">
        <v>2724.9782139999998</v>
      </c>
      <c r="BT414" s="399"/>
      <c r="BU414" s="399"/>
      <c r="BV414" s="399">
        <v>1291.7829169127187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1482.4225000000001</v>
      </c>
      <c r="CJ414" s="399">
        <v>-411.47376800000006</v>
      </c>
      <c r="CK414" s="399"/>
      <c r="CL414" s="399"/>
      <c r="CM414" s="399"/>
      <c r="CN414" s="399"/>
      <c r="CO414" s="399">
        <v>-1175.1680500000002</v>
      </c>
      <c r="CP414" s="399">
        <v>0</v>
      </c>
      <c r="CQ414" s="399">
        <v>30</v>
      </c>
      <c r="CR414" s="399">
        <v>-36.149397195684742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-4.1558585547010125</v>
      </c>
      <c r="DA414" s="399">
        <v>0</v>
      </c>
      <c r="DB414" s="399">
        <v>0</v>
      </c>
      <c r="DC414" s="399">
        <v>0</v>
      </c>
      <c r="DD414" s="399">
        <v>0</v>
      </c>
      <c r="DE414" s="399">
        <v>0</v>
      </c>
      <c r="DF414" s="399">
        <v>0</v>
      </c>
      <c r="DG414" s="399">
        <v>0</v>
      </c>
      <c r="DH414" s="399">
        <v>0</v>
      </c>
      <c r="DI414" s="399">
        <v>-27.736454506856376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-3.8033848888411796</v>
      </c>
      <c r="DP414" s="399">
        <v>-0.45369924528665351</v>
      </c>
      <c r="DQ414" s="399">
        <v>0</v>
      </c>
      <c r="DR414" s="399">
        <v>0</v>
      </c>
      <c r="DS414" s="399"/>
      <c r="DT414" s="399"/>
      <c r="DU414" s="399"/>
      <c r="DV414" s="399">
        <v>2636.3257986832787</v>
      </c>
      <c r="DW414" s="399">
        <v>0</v>
      </c>
      <c r="DX414" s="399">
        <v>0</v>
      </c>
      <c r="DY414" s="399">
        <v>-1175.1680499999998</v>
      </c>
      <c r="DZ414" s="399">
        <v>0</v>
      </c>
      <c r="EA414" s="399">
        <v>0</v>
      </c>
      <c r="EB414" s="399">
        <v>0</v>
      </c>
      <c r="EC414" s="399">
        <v>-1138.9438478926513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218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413</v>
      </c>
      <c r="B415" s="399" t="s">
        <v>2361</v>
      </c>
      <c r="C415" s="399" t="s">
        <v>2328</v>
      </c>
      <c r="D415" s="399" t="s">
        <v>2335</v>
      </c>
      <c r="E415" s="399" t="s">
        <v>894</v>
      </c>
      <c r="F415" s="399" t="s">
        <v>2342</v>
      </c>
      <c r="G415" s="399" t="s">
        <v>2341</v>
      </c>
      <c r="H415" s="399" t="s">
        <v>1239</v>
      </c>
      <c r="I415" s="399" t="s">
        <v>1239</v>
      </c>
      <c r="J415" s="399" t="s">
        <v>2329</v>
      </c>
      <c r="K415" s="789">
        <v>44652</v>
      </c>
      <c r="L415" s="399">
        <v>0</v>
      </c>
      <c r="M415" s="399">
        <v>0</v>
      </c>
      <c r="N415" s="399">
        <v>4.2119999999999997</v>
      </c>
      <c r="O415" s="399">
        <v>1.6848000000000001</v>
      </c>
      <c r="P415" s="399">
        <v>4.2119999999999997</v>
      </c>
      <c r="Q415" s="399">
        <v>1.6848000000000001</v>
      </c>
      <c r="R415" s="399"/>
      <c r="S415" s="399">
        <v>521.86</v>
      </c>
      <c r="T415" s="399">
        <v>141.32</v>
      </c>
      <c r="U415" s="399"/>
      <c r="V415" s="399">
        <v>2793.3141599999999</v>
      </c>
      <c r="W415" s="399">
        <v>2793.3141599999999</v>
      </c>
      <c r="X415" s="399">
        <v>2183.2059599999998</v>
      </c>
      <c r="Y415" s="399">
        <v>0</v>
      </c>
      <c r="Z415" s="399">
        <v>255.57170298272266</v>
      </c>
      <c r="AA415" s="399">
        <v>0</v>
      </c>
      <c r="AB415" s="399">
        <v>0</v>
      </c>
      <c r="AC415" s="399">
        <v>0</v>
      </c>
      <c r="AD415" s="399">
        <v>453.01661496434582</v>
      </c>
      <c r="AE415" s="399">
        <v>1368.6927479420644</v>
      </c>
      <c r="AF415" s="399">
        <v>595.23533329472502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39.516951773871241</v>
      </c>
      <c r="AM415" s="399"/>
      <c r="AN415" s="399">
        <v>5.8414824707998587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75.415430422318096</v>
      </c>
      <c r="BH415" s="399">
        <v>0</v>
      </c>
      <c r="BI415" s="399">
        <v>0</v>
      </c>
      <c r="BJ415" s="399">
        <v>0</v>
      </c>
      <c r="BK415" s="399">
        <v>0</v>
      </c>
      <c r="BL415" s="399">
        <v>0</v>
      </c>
      <c r="BM415" s="399"/>
      <c r="BN415" s="399"/>
      <c r="BO415" s="399"/>
      <c r="BP415" s="399"/>
      <c r="BQ415" s="399"/>
      <c r="BR415" s="399"/>
      <c r="BS415" s="399">
        <v>1414.7181359999997</v>
      </c>
      <c r="BT415" s="399"/>
      <c r="BU415" s="399"/>
      <c r="BV415" s="399">
        <v>670.65076371704311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766.2983999999999</v>
      </c>
      <c r="CJ415" s="399">
        <v>-216.96403200000009</v>
      </c>
      <c r="CK415" s="399"/>
      <c r="CL415" s="399"/>
      <c r="CM415" s="399"/>
      <c r="CN415" s="399"/>
      <c r="CO415" s="399">
        <v>-610.10820000000001</v>
      </c>
      <c r="CP415" s="399">
        <v>0</v>
      </c>
      <c r="CQ415" s="399">
        <v>30</v>
      </c>
      <c r="CR415" s="399">
        <v>-18.767565757207649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-2.1575836598546516</v>
      </c>
      <c r="DA415" s="399">
        <v>0</v>
      </c>
      <c r="DB415" s="399">
        <v>0</v>
      </c>
      <c r="DC415" s="399">
        <v>0</v>
      </c>
      <c r="DD415" s="399">
        <v>0</v>
      </c>
      <c r="DE415" s="399">
        <v>0</v>
      </c>
      <c r="DF415" s="399">
        <v>0</v>
      </c>
      <c r="DG415" s="399">
        <v>0</v>
      </c>
      <c r="DH415" s="399">
        <v>0</v>
      </c>
      <c r="DI415" s="399">
        <v>-14.399845480448562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-1.9745910454577924</v>
      </c>
      <c r="DP415" s="399">
        <v>-0.23554557144673804</v>
      </c>
      <c r="DQ415" s="399">
        <v>0</v>
      </c>
      <c r="DR415" s="399">
        <v>0</v>
      </c>
      <c r="DS415" s="399"/>
      <c r="DT415" s="399"/>
      <c r="DU415" s="399"/>
      <c r="DV415" s="399">
        <v>1368.6927479420644</v>
      </c>
      <c r="DW415" s="399">
        <v>0</v>
      </c>
      <c r="DX415" s="399">
        <v>0</v>
      </c>
      <c r="DY415" s="399">
        <v>-610.1081999999999</v>
      </c>
      <c r="DZ415" s="399">
        <v>0</v>
      </c>
      <c r="EA415" s="399">
        <v>0</v>
      </c>
      <c r="EB415" s="399">
        <v>0</v>
      </c>
      <c r="EC415" s="399">
        <v>-591.30179801846987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218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414</v>
      </c>
      <c r="B416" s="399" t="s">
        <v>956</v>
      </c>
      <c r="C416" s="399" t="s">
        <v>2328</v>
      </c>
      <c r="D416" s="399" t="s">
        <v>1823</v>
      </c>
      <c r="E416" s="399" t="s">
        <v>889</v>
      </c>
      <c r="F416" s="399" t="s">
        <v>889</v>
      </c>
      <c r="G416" s="399" t="s">
        <v>1239</v>
      </c>
      <c r="H416" s="399" t="s">
        <v>1239</v>
      </c>
      <c r="I416" s="399" t="s">
        <v>1239</v>
      </c>
      <c r="J416" s="399" t="s">
        <v>2329</v>
      </c>
      <c r="K416" s="789">
        <v>44682</v>
      </c>
      <c r="L416" s="399">
        <v>0</v>
      </c>
      <c r="M416" s="399">
        <v>0</v>
      </c>
      <c r="N416" s="399">
        <v>943.70699999999999</v>
      </c>
      <c r="O416" s="399">
        <v>943.70699999999999</v>
      </c>
      <c r="P416" s="399">
        <v>943.70699999999999</v>
      </c>
      <c r="Q416" s="399">
        <v>943.70699999999999</v>
      </c>
      <c r="R416" s="399"/>
      <c r="S416" s="399">
        <v>521.86</v>
      </c>
      <c r="T416" s="399">
        <v>141.32</v>
      </c>
      <c r="U416" s="399"/>
      <c r="V416" s="399">
        <v>625847.60826000001</v>
      </c>
      <c r="W416" s="399">
        <v>625847.60826000001</v>
      </c>
      <c r="X416" s="399">
        <v>489151.64931000001</v>
      </c>
      <c r="Y416" s="399">
        <v>0</v>
      </c>
      <c r="Z416" s="399">
        <v>57261.349740435959</v>
      </c>
      <c r="AA416" s="399">
        <v>0</v>
      </c>
      <c r="AB416" s="399">
        <v>0</v>
      </c>
      <c r="AC416" s="399">
        <v>0</v>
      </c>
      <c r="AD416" s="399">
        <v>101499.27603470036</v>
      </c>
      <c r="AE416" s="399">
        <v>306658.33976309636</v>
      </c>
      <c r="AF416" s="399">
        <v>133363.66350369542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8853.8518536715837</v>
      </c>
      <c r="AM416" s="399"/>
      <c r="AN416" s="399">
        <v>1308.7957972628494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16896.977587263664</v>
      </c>
      <c r="BH416" s="399">
        <v>0</v>
      </c>
      <c r="BI416" s="399">
        <v>3414.66</v>
      </c>
      <c r="BJ416" s="399">
        <v>15870.63</v>
      </c>
      <c r="BK416" s="399">
        <v>109154.22</v>
      </c>
      <c r="BL416" s="399">
        <v>4816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150260.64109095908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489153.20429999998</v>
      </c>
      <c r="CJ416" s="399">
        <v>-136694.43396000005</v>
      </c>
      <c r="CK416" s="399"/>
      <c r="CL416" s="399"/>
      <c r="CM416" s="399"/>
      <c r="CN416" s="399"/>
      <c r="CO416" s="399">
        <v>-136695.95895000003</v>
      </c>
      <c r="CP416" s="399">
        <v>0</v>
      </c>
      <c r="CQ416" s="399">
        <v>31</v>
      </c>
      <c r="CR416" s="399">
        <v>-4204.9105360961985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-483.41092186383321</v>
      </c>
      <c r="DA416" s="399">
        <v>0</v>
      </c>
      <c r="DB416" s="399">
        <v>0</v>
      </c>
      <c r="DC416" s="399">
        <v>0</v>
      </c>
      <c r="DD416" s="399">
        <v>0</v>
      </c>
      <c r="DE416" s="399">
        <v>0</v>
      </c>
      <c r="DF416" s="399">
        <v>0</v>
      </c>
      <c r="DG416" s="399">
        <v>0</v>
      </c>
      <c r="DH416" s="399">
        <v>0</v>
      </c>
      <c r="DI416" s="399">
        <v>-3226.3140975350616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-442.41106166567806</v>
      </c>
      <c r="DP416" s="399">
        <v>-52.774455031644266</v>
      </c>
      <c r="DQ416" s="399">
        <v>0</v>
      </c>
      <c r="DR416" s="399">
        <v>0</v>
      </c>
      <c r="DS416" s="399"/>
      <c r="DT416" s="399"/>
      <c r="DU416" s="399"/>
      <c r="DV416" s="399">
        <v>306658.33976309636</v>
      </c>
      <c r="DW416" s="399">
        <v>0</v>
      </c>
      <c r="DX416" s="399">
        <v>0</v>
      </c>
      <c r="DY416" s="399">
        <v>-136695.95895000006</v>
      </c>
      <c r="DZ416" s="399">
        <v>0</v>
      </c>
      <c r="EA416" s="399">
        <v>0</v>
      </c>
      <c r="EB416" s="399">
        <v>0</v>
      </c>
      <c r="EC416" s="399">
        <v>-132482.3470803932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218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415</v>
      </c>
      <c r="B417" s="399" t="s">
        <v>2361</v>
      </c>
      <c r="C417" s="399" t="s">
        <v>2328</v>
      </c>
      <c r="D417" s="399" t="s">
        <v>1823</v>
      </c>
      <c r="E417" s="399" t="s">
        <v>889</v>
      </c>
      <c r="F417" s="399" t="s">
        <v>889</v>
      </c>
      <c r="G417" s="399" t="s">
        <v>1239</v>
      </c>
      <c r="H417" s="399" t="s">
        <v>1239</v>
      </c>
      <c r="I417" s="399" t="s">
        <v>1239</v>
      </c>
      <c r="J417" s="399" t="s">
        <v>2329</v>
      </c>
      <c r="K417" s="789">
        <v>44682</v>
      </c>
      <c r="L417" s="399">
        <v>0</v>
      </c>
      <c r="M417" s="399">
        <v>0</v>
      </c>
      <c r="N417" s="399">
        <v>15.443</v>
      </c>
      <c r="O417" s="399">
        <v>15.443</v>
      </c>
      <c r="P417" s="399">
        <v>15.443</v>
      </c>
      <c r="Q417" s="399">
        <v>15.443</v>
      </c>
      <c r="R417" s="399"/>
      <c r="S417" s="399">
        <v>521.86</v>
      </c>
      <c r="T417" s="399">
        <v>141.32</v>
      </c>
      <c r="U417" s="399"/>
      <c r="V417" s="399">
        <v>10241.488740000001</v>
      </c>
      <c r="W417" s="399">
        <v>10241.488740000001</v>
      </c>
      <c r="X417" s="399">
        <v>8004.5701900000004</v>
      </c>
      <c r="Y417" s="399">
        <v>0</v>
      </c>
      <c r="Z417" s="399">
        <v>937.03556722748954</v>
      </c>
      <c r="AA417" s="399">
        <v>0</v>
      </c>
      <c r="AB417" s="399">
        <v>0</v>
      </c>
      <c r="AC417" s="399">
        <v>0</v>
      </c>
      <c r="AD417" s="399">
        <v>1660.9533677337115</v>
      </c>
      <c r="AE417" s="399">
        <v>5018.2151249927119</v>
      </c>
      <c r="AF417" s="399">
        <v>2182.3882364839601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144.88610784517894</v>
      </c>
      <c r="AM417" s="399"/>
      <c r="AN417" s="399">
        <v>21.417382192916005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276.50533998382201</v>
      </c>
      <c r="BH417" s="399">
        <v>0</v>
      </c>
      <c r="BI417" s="399">
        <v>61.8</v>
      </c>
      <c r="BJ417" s="399">
        <v>288.04000000000002</v>
      </c>
      <c r="BK417" s="399">
        <v>6662.43</v>
      </c>
      <c r="BL417" s="399">
        <v>131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2458.8935764677822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8003.0151999999998</v>
      </c>
      <c r="CJ417" s="399">
        <v>-2238.5035400000015</v>
      </c>
      <c r="CK417" s="399"/>
      <c r="CL417" s="399"/>
      <c r="CM417" s="399"/>
      <c r="CN417" s="399"/>
      <c r="CO417" s="399">
        <v>-2236.9185500000003</v>
      </c>
      <c r="CP417" s="399">
        <v>0</v>
      </c>
      <c r="CQ417" s="399">
        <v>31</v>
      </c>
      <c r="CR417" s="399">
        <v>-68.809952039069685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-7.9106278393010143</v>
      </c>
      <c r="DA417" s="399">
        <v>0</v>
      </c>
      <c r="DB417" s="399">
        <v>0</v>
      </c>
      <c r="DC417" s="399">
        <v>0</v>
      </c>
      <c r="DD417" s="399">
        <v>0</v>
      </c>
      <c r="DE417" s="399">
        <v>0</v>
      </c>
      <c r="DF417" s="399">
        <v>0</v>
      </c>
      <c r="DG417" s="399">
        <v>0</v>
      </c>
      <c r="DH417" s="399">
        <v>0</v>
      </c>
      <c r="DI417" s="399">
        <v>-52.79601466157817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-7.239698365385749</v>
      </c>
      <c r="DP417" s="399">
        <v>-0.86361117280436162</v>
      </c>
      <c r="DQ417" s="399">
        <v>0</v>
      </c>
      <c r="DR417" s="399">
        <v>0</v>
      </c>
      <c r="DS417" s="399"/>
      <c r="DT417" s="399"/>
      <c r="DU417" s="399"/>
      <c r="DV417" s="399">
        <v>5018.2151249927119</v>
      </c>
      <c r="DW417" s="399">
        <v>0</v>
      </c>
      <c r="DX417" s="399">
        <v>0</v>
      </c>
      <c r="DY417" s="399">
        <v>-2236.9185500000003</v>
      </c>
      <c r="DZ417" s="399">
        <v>0</v>
      </c>
      <c r="EA417" s="399">
        <v>0</v>
      </c>
      <c r="EB417" s="399">
        <v>0</v>
      </c>
      <c r="EC417" s="399">
        <v>-2167.9662076921254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218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416</v>
      </c>
      <c r="B418" s="399" t="s">
        <v>956</v>
      </c>
      <c r="C418" s="399" t="s">
        <v>2328</v>
      </c>
      <c r="D418" s="399" t="s">
        <v>1823</v>
      </c>
      <c r="E418" s="399" t="s">
        <v>889</v>
      </c>
      <c r="F418" s="399" t="s">
        <v>2330</v>
      </c>
      <c r="G418" s="399" t="s">
        <v>1239</v>
      </c>
      <c r="H418" s="399" t="s">
        <v>1239</v>
      </c>
      <c r="I418" s="399" t="s">
        <v>1239</v>
      </c>
      <c r="J418" s="399" t="s">
        <v>2329</v>
      </c>
      <c r="K418" s="789">
        <v>44682</v>
      </c>
      <c r="L418" s="399">
        <v>0</v>
      </c>
      <c r="M418" s="399">
        <v>0</v>
      </c>
      <c r="N418" s="399">
        <v>4.1399999999999997</v>
      </c>
      <c r="O418" s="399">
        <v>4.1399999999999997</v>
      </c>
      <c r="P418" s="399">
        <v>4.1399999999999997</v>
      </c>
      <c r="Q418" s="399">
        <v>4.1399999999999997</v>
      </c>
      <c r="R418" s="399"/>
      <c r="S418" s="399">
        <v>451.8</v>
      </c>
      <c r="T418" s="399">
        <v>141.32</v>
      </c>
      <c r="U418" s="399"/>
      <c r="V418" s="399">
        <v>2455.5167999999999</v>
      </c>
      <c r="W418" s="399">
        <v>2455.5167999999999</v>
      </c>
      <c r="X418" s="399">
        <v>1871.9423999999997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445.27274120427148</v>
      </c>
      <c r="AE418" s="399">
        <v>1345.2962907122856</v>
      </c>
      <c r="AF418" s="399">
        <v>585.06037033242205</v>
      </c>
      <c r="AG418" s="399">
        <v>0</v>
      </c>
      <c r="AH418" s="399">
        <v>0</v>
      </c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5.7416280695896047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74.126277765526325</v>
      </c>
      <c r="BH418" s="399">
        <v>0</v>
      </c>
      <c r="BI418" s="399">
        <v>13.82</v>
      </c>
      <c r="BJ418" s="399">
        <v>66.239999999999995</v>
      </c>
      <c r="BK418" s="399">
        <v>99.38</v>
      </c>
      <c r="BL418" s="399">
        <v>1</v>
      </c>
      <c r="BM418" s="399"/>
      <c r="BN418" s="399"/>
      <c r="BO418" s="399"/>
      <c r="BP418" s="399"/>
      <c r="BQ418" s="399"/>
      <c r="BR418" s="399"/>
      <c r="BS418" s="399"/>
      <c r="BT418" s="399">
        <v>1216.7459999999996</v>
      </c>
      <c r="BU418" s="399"/>
      <c r="BV418" s="399">
        <v>659.18664809794836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655.19639999999993</v>
      </c>
      <c r="CJ418" s="399">
        <v>-204.25620000000004</v>
      </c>
      <c r="CK418" s="399"/>
      <c r="CL418" s="399"/>
      <c r="CM418" s="399"/>
      <c r="CN418" s="399"/>
      <c r="CO418" s="399">
        <v>-583.57440000000008</v>
      </c>
      <c r="CP418" s="399">
        <v>0</v>
      </c>
      <c r="CQ418" s="399">
        <v>31</v>
      </c>
      <c r="CR418" s="399">
        <v>-2.3522210393132355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-2.1207018878913004</v>
      </c>
      <c r="DA418" s="399">
        <v>0</v>
      </c>
      <c r="DB418" s="399">
        <v>0</v>
      </c>
      <c r="DC418" s="399">
        <v>0</v>
      </c>
      <c r="DD418" s="399">
        <v>0</v>
      </c>
      <c r="DE418" s="399">
        <v>0</v>
      </c>
      <c r="DF418" s="399">
        <v>0</v>
      </c>
      <c r="DG418" s="399">
        <v>0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0</v>
      </c>
      <c r="DP418" s="399">
        <v>-0.23151915142200785</v>
      </c>
      <c r="DQ418" s="399">
        <v>0</v>
      </c>
      <c r="DR418" s="399">
        <v>0</v>
      </c>
      <c r="DS418" s="399"/>
      <c r="DT418" s="399"/>
      <c r="DU418" s="399"/>
      <c r="DV418" s="399">
        <v>1345.2962907122856</v>
      </c>
      <c r="DW418" s="399">
        <v>0</v>
      </c>
      <c r="DX418" s="399">
        <v>0</v>
      </c>
      <c r="DY418" s="399">
        <v>-583.5744000000002</v>
      </c>
      <c r="DZ418" s="399">
        <v>0</v>
      </c>
      <c r="EA418" s="399">
        <v>0</v>
      </c>
      <c r="EB418" s="399">
        <v>0</v>
      </c>
      <c r="EC418" s="399">
        <v>-581.1940749754192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218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417</v>
      </c>
      <c r="B419" s="399" t="s">
        <v>2361</v>
      </c>
      <c r="C419" s="399" t="s">
        <v>2328</v>
      </c>
      <c r="D419" s="399" t="s">
        <v>1823</v>
      </c>
      <c r="E419" s="399" t="s">
        <v>889</v>
      </c>
      <c r="F419" s="399" t="s">
        <v>2330</v>
      </c>
      <c r="G419" s="399" t="s">
        <v>1239</v>
      </c>
      <c r="H419" s="399" t="s">
        <v>1239</v>
      </c>
      <c r="I419" s="399" t="s">
        <v>1239</v>
      </c>
      <c r="J419" s="399" t="s">
        <v>2329</v>
      </c>
      <c r="K419" s="789">
        <v>44682</v>
      </c>
      <c r="L419" s="399">
        <v>0</v>
      </c>
      <c r="M419" s="399">
        <v>0</v>
      </c>
      <c r="N419" s="399">
        <v>1.0999999999999999E-2</v>
      </c>
      <c r="O419" s="399">
        <v>3.8500000000000001E-3</v>
      </c>
      <c r="P419" s="399">
        <v>1.0999999999999999E-2</v>
      </c>
      <c r="Q419" s="399">
        <v>3.8500000000000001E-3</v>
      </c>
      <c r="R419" s="399"/>
      <c r="S419" s="399">
        <v>451.8</v>
      </c>
      <c r="T419" s="399">
        <v>141.32</v>
      </c>
      <c r="U419" s="399"/>
      <c r="V419" s="399">
        <v>6.5243200000000003</v>
      </c>
      <c r="W419" s="399">
        <v>6.5243200000000003</v>
      </c>
      <c r="X419" s="399">
        <v>4.9737599999999995</v>
      </c>
      <c r="Y419" s="399">
        <v>0</v>
      </c>
      <c r="Z419" s="399">
        <v>0</v>
      </c>
      <c r="AA419" s="399">
        <v>0</v>
      </c>
      <c r="AB419" s="399">
        <v>0</v>
      </c>
      <c r="AC419" s="399">
        <v>0</v>
      </c>
      <c r="AD419" s="399">
        <v>1.183091824455794</v>
      </c>
      <c r="AE419" s="399">
        <v>3.5744587434384401</v>
      </c>
      <c r="AF419" s="399">
        <v>1.554508230351846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0</v>
      </c>
      <c r="AM419" s="399"/>
      <c r="AN419" s="399">
        <v>1.5255533518233248E-2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0.19695387812096368</v>
      </c>
      <c r="BH419" s="399">
        <v>0</v>
      </c>
      <c r="BI419" s="399">
        <v>0.04</v>
      </c>
      <c r="BJ419" s="399">
        <v>0.17</v>
      </c>
      <c r="BK419" s="399">
        <v>0.54</v>
      </c>
      <c r="BL419" s="399">
        <v>0</v>
      </c>
      <c r="BM419" s="399"/>
      <c r="BN419" s="399"/>
      <c r="BO419" s="399"/>
      <c r="BP419" s="399"/>
      <c r="BQ419" s="399"/>
      <c r="BR419" s="399"/>
      <c r="BS419" s="399"/>
      <c r="BT419" s="399">
        <v>4.3644589999999983</v>
      </c>
      <c r="BU419" s="399"/>
      <c r="BV419" s="399">
        <v>1.7514621084728097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0</v>
      </c>
      <c r="CJ419" s="399">
        <v>-0.82922150000000006</v>
      </c>
      <c r="CK419" s="399"/>
      <c r="CL419" s="399"/>
      <c r="CM419" s="399"/>
      <c r="CN419" s="399"/>
      <c r="CO419" s="399">
        <v>-1.5505600000000004</v>
      </c>
      <c r="CP419" s="399">
        <v>0</v>
      </c>
      <c r="CQ419" s="399">
        <v>31</v>
      </c>
      <c r="CR419" s="399">
        <v>-6.2498626648426203E-3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-5.6347151610640633E-3</v>
      </c>
      <c r="DA419" s="399">
        <v>0</v>
      </c>
      <c r="DB419" s="399">
        <v>0</v>
      </c>
      <c r="DC419" s="399">
        <v>0</v>
      </c>
      <c r="DD419" s="399">
        <v>0</v>
      </c>
      <c r="DE419" s="399">
        <v>0</v>
      </c>
      <c r="DF419" s="399">
        <v>0</v>
      </c>
      <c r="DG419" s="399">
        <v>0</v>
      </c>
      <c r="DH419" s="399">
        <v>0</v>
      </c>
      <c r="DI419" s="399">
        <v>0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0</v>
      </c>
      <c r="DP419" s="399">
        <v>-6.1514750377827943E-4</v>
      </c>
      <c r="DQ419" s="399">
        <v>0</v>
      </c>
      <c r="DR419" s="399">
        <v>0</v>
      </c>
      <c r="DS419" s="399"/>
      <c r="DT419" s="399"/>
      <c r="DU419" s="399"/>
      <c r="DV419" s="399">
        <v>3.5744587434384401</v>
      </c>
      <c r="DW419" s="399">
        <v>0</v>
      </c>
      <c r="DX419" s="399">
        <v>0</v>
      </c>
      <c r="DY419" s="399">
        <v>-1.5505600000000008</v>
      </c>
      <c r="DZ419" s="399">
        <v>0</v>
      </c>
      <c r="EA419" s="399">
        <v>0</v>
      </c>
      <c r="EB419" s="399">
        <v>0</v>
      </c>
      <c r="EC419" s="399">
        <v>-1.5442354649105341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218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418</v>
      </c>
      <c r="B420" s="399" t="s">
        <v>956</v>
      </c>
      <c r="C420" s="399" t="s">
        <v>2328</v>
      </c>
      <c r="D420" s="399" t="s">
        <v>1823</v>
      </c>
      <c r="E420" s="399" t="s">
        <v>889</v>
      </c>
      <c r="F420" s="399" t="s">
        <v>2331</v>
      </c>
      <c r="G420" s="399" t="s">
        <v>1239</v>
      </c>
      <c r="H420" s="399" t="s">
        <v>1239</v>
      </c>
      <c r="I420" s="399" t="s">
        <v>1239</v>
      </c>
      <c r="J420" s="399" t="s">
        <v>2329</v>
      </c>
      <c r="K420" s="789">
        <v>44682</v>
      </c>
      <c r="L420" s="399">
        <v>0</v>
      </c>
      <c r="M420" s="399">
        <v>0</v>
      </c>
      <c r="N420" s="399">
        <v>8.173</v>
      </c>
      <c r="O420" s="399">
        <v>8.173</v>
      </c>
      <c r="P420" s="399">
        <v>8.173</v>
      </c>
      <c r="Q420" s="399">
        <v>8.173</v>
      </c>
      <c r="R420" s="399"/>
      <c r="S420" s="399">
        <v>451.8</v>
      </c>
      <c r="T420" s="399">
        <v>141.32</v>
      </c>
      <c r="U420" s="399"/>
      <c r="V420" s="399">
        <v>4847.5697600000003</v>
      </c>
      <c r="W420" s="399">
        <v>4847.5697600000003</v>
      </c>
      <c r="X420" s="399">
        <v>3695.5036799999998</v>
      </c>
      <c r="Y420" s="399">
        <v>0</v>
      </c>
      <c r="Z420" s="399">
        <v>0</v>
      </c>
      <c r="AA420" s="399">
        <v>0</v>
      </c>
      <c r="AB420" s="399">
        <v>0</v>
      </c>
      <c r="AC420" s="399">
        <v>0</v>
      </c>
      <c r="AD420" s="399">
        <v>879.03722557065487</v>
      </c>
      <c r="AE420" s="399">
        <v>2655.822846374761</v>
      </c>
      <c r="AF420" s="399">
        <v>1154.9996151514217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0</v>
      </c>
      <c r="AM420" s="399"/>
      <c r="AN420" s="399">
        <v>11.334861404047304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146.33673144387603</v>
      </c>
      <c r="BH420" s="399">
        <v>0</v>
      </c>
      <c r="BI420" s="399">
        <v>28.33</v>
      </c>
      <c r="BJ420" s="399">
        <v>132.79</v>
      </c>
      <c r="BK420" s="399">
        <v>324.47000000000003</v>
      </c>
      <c r="BL420" s="399">
        <v>38</v>
      </c>
      <c r="BM420" s="399"/>
      <c r="BN420" s="399"/>
      <c r="BO420" s="399"/>
      <c r="BP420" s="399"/>
      <c r="BQ420" s="399"/>
      <c r="BR420" s="399"/>
      <c r="BS420" s="399"/>
      <c r="BT420" s="399">
        <v>1478.1687799999997</v>
      </c>
      <c r="BU420" s="399"/>
      <c r="BV420" s="399">
        <v>1301.3363465952978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2216.5209999999997</v>
      </c>
      <c r="CJ420" s="399">
        <v>-692.03451000000086</v>
      </c>
      <c r="CK420" s="399"/>
      <c r="CL420" s="399"/>
      <c r="CM420" s="399"/>
      <c r="CN420" s="399"/>
      <c r="CO420" s="399">
        <v>-1152.0660800000003</v>
      </c>
      <c r="CP420" s="399">
        <v>0</v>
      </c>
      <c r="CQ420" s="399">
        <v>31</v>
      </c>
      <c r="CR420" s="399">
        <v>-4.6436479599778977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-4.1865933646704434</v>
      </c>
      <c r="DA420" s="399">
        <v>0</v>
      </c>
      <c r="DB420" s="399">
        <v>0</v>
      </c>
      <c r="DC420" s="399">
        <v>0</v>
      </c>
      <c r="DD420" s="399">
        <v>0</v>
      </c>
      <c r="DE420" s="399">
        <v>0</v>
      </c>
      <c r="DF420" s="399">
        <v>0</v>
      </c>
      <c r="DG420" s="399">
        <v>0</v>
      </c>
      <c r="DH420" s="399">
        <v>0</v>
      </c>
      <c r="DI420" s="399">
        <v>0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0</v>
      </c>
      <c r="DP420" s="399">
        <v>-0.45705459530726245</v>
      </c>
      <c r="DQ420" s="399">
        <v>0</v>
      </c>
      <c r="DR420" s="399">
        <v>0</v>
      </c>
      <c r="DS420" s="399"/>
      <c r="DT420" s="399"/>
      <c r="DU420" s="399"/>
      <c r="DV420" s="399">
        <v>2655.822846374761</v>
      </c>
      <c r="DW420" s="399">
        <v>0</v>
      </c>
      <c r="DX420" s="399">
        <v>0</v>
      </c>
      <c r="DY420" s="399">
        <v>-1152.0660800000001</v>
      </c>
      <c r="DZ420" s="399">
        <v>0</v>
      </c>
      <c r="EA420" s="399">
        <v>0</v>
      </c>
      <c r="EB420" s="399">
        <v>0</v>
      </c>
      <c r="EC420" s="399">
        <v>-1147.3669504285267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218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419</v>
      </c>
      <c r="B421" s="399" t="s">
        <v>2361</v>
      </c>
      <c r="C421" s="399" t="s">
        <v>2328</v>
      </c>
      <c r="D421" s="399" t="s">
        <v>1823</v>
      </c>
      <c r="E421" s="399" t="s">
        <v>889</v>
      </c>
      <c r="F421" s="399" t="s">
        <v>2331</v>
      </c>
      <c r="G421" s="399" t="s">
        <v>1239</v>
      </c>
      <c r="H421" s="399" t="s">
        <v>1239</v>
      </c>
      <c r="I421" s="399" t="s">
        <v>1239</v>
      </c>
      <c r="J421" s="399" t="s">
        <v>2329</v>
      </c>
      <c r="K421" s="789">
        <v>44682</v>
      </c>
      <c r="L421" s="399">
        <v>0</v>
      </c>
      <c r="M421" s="399">
        <v>0</v>
      </c>
      <c r="N421" s="399">
        <v>0</v>
      </c>
      <c r="O421" s="399">
        <v>0</v>
      </c>
      <c r="P421" s="399">
        <v>0</v>
      </c>
      <c r="Q421" s="399">
        <v>0</v>
      </c>
      <c r="R421" s="399"/>
      <c r="S421" s="399"/>
      <c r="T421" s="399"/>
      <c r="U421" s="399"/>
      <c r="V421" s="399"/>
      <c r="W421" s="399"/>
      <c r="X421" s="399"/>
      <c r="Y421" s="399"/>
      <c r="Z421" s="399"/>
      <c r="AA421" s="399">
        <v>0</v>
      </c>
      <c r="AB421" s="399"/>
      <c r="AC421" s="399"/>
      <c r="AD421" s="399"/>
      <c r="AE421" s="399"/>
      <c r="AF421" s="399"/>
      <c r="AG421" s="399"/>
      <c r="AH421" s="399"/>
      <c r="AI421" s="399"/>
      <c r="AJ421" s="399"/>
      <c r="AK421" s="399"/>
      <c r="AL421" s="399"/>
      <c r="AM421" s="399"/>
      <c r="AN421" s="399"/>
      <c r="AO421" s="399"/>
      <c r="AP421" s="399"/>
      <c r="AQ421" s="399"/>
      <c r="AR421" s="399"/>
      <c r="AS421" s="399"/>
      <c r="AT421" s="399"/>
      <c r="AU421" s="399"/>
      <c r="AV421" s="399"/>
      <c r="AW421" s="399"/>
      <c r="AX421" s="399"/>
      <c r="AY421" s="399"/>
      <c r="AZ421" s="399">
        <v>0</v>
      </c>
      <c r="BA421" s="399"/>
      <c r="BB421" s="399"/>
      <c r="BC421" s="399"/>
      <c r="BD421" s="399"/>
      <c r="BE421" s="399"/>
      <c r="BF421" s="399"/>
      <c r="BG421" s="399"/>
      <c r="BH421" s="399"/>
      <c r="BI421" s="399">
        <v>0</v>
      </c>
      <c r="BJ421" s="399">
        <v>0</v>
      </c>
      <c r="BK421" s="399">
        <v>1.78</v>
      </c>
      <c r="BL421" s="399">
        <v>0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/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/>
      <c r="CJ421" s="399">
        <v>-0.03</v>
      </c>
      <c r="CK421" s="399"/>
      <c r="CL421" s="399"/>
      <c r="CM421" s="399"/>
      <c r="CN421" s="399"/>
      <c r="CO421" s="399">
        <v>0</v>
      </c>
      <c r="CP421" s="399">
        <v>0</v>
      </c>
      <c r="CQ421" s="399">
        <v>31</v>
      </c>
      <c r="CR421" s="399"/>
      <c r="CS421" s="399"/>
      <c r="CT421" s="399"/>
      <c r="CU421" s="399"/>
      <c r="CV421" s="399"/>
      <c r="CW421" s="399"/>
      <c r="CX421" s="399"/>
      <c r="CY421" s="399"/>
      <c r="CZ421" s="399"/>
      <c r="DA421" s="399"/>
      <c r="DB421" s="399"/>
      <c r="DC421" s="399"/>
      <c r="DD421" s="399"/>
      <c r="DE421" s="399"/>
      <c r="DF421" s="399"/>
      <c r="DG421" s="399"/>
      <c r="DH421" s="399"/>
      <c r="DI421" s="399"/>
      <c r="DJ421" s="399"/>
      <c r="DK421" s="399">
        <v>0</v>
      </c>
      <c r="DL421" s="399"/>
      <c r="DM421" s="399"/>
      <c r="DN421" s="399"/>
      <c r="DO421" s="399"/>
      <c r="DP421" s="399"/>
      <c r="DQ421" s="399"/>
      <c r="DR421" s="399"/>
      <c r="DS421" s="399"/>
      <c r="DT421" s="399"/>
      <c r="DU421" s="399"/>
      <c r="DV421" s="399"/>
      <c r="DW421" s="399"/>
      <c r="DX421" s="399"/>
      <c r="DY421" s="399"/>
      <c r="DZ421" s="399"/>
      <c r="EA421" s="399"/>
      <c r="EB421" s="399"/>
      <c r="EC421" s="399"/>
      <c r="ED421" s="399"/>
      <c r="EE421" s="399"/>
      <c r="EF421" s="399"/>
      <c r="EG421" s="399"/>
      <c r="EH421" s="399"/>
      <c r="EI421" s="399"/>
      <c r="EJ421" s="399"/>
      <c r="EK421" s="399"/>
      <c r="EL421" s="399"/>
      <c r="EM421" s="399"/>
      <c r="EN421" s="399"/>
      <c r="EO421" s="399"/>
      <c r="EP421" s="399"/>
      <c r="EQ421" s="399"/>
      <c r="ER421" s="399"/>
      <c r="ES421" s="399"/>
      <c r="ET421" s="399"/>
      <c r="EU421" s="399"/>
      <c r="EV421" s="399">
        <v>218</v>
      </c>
      <c r="EW421" s="399"/>
      <c r="EX421" s="399"/>
      <c r="EY421" s="399"/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420</v>
      </c>
      <c r="B422" s="399" t="s">
        <v>956</v>
      </c>
      <c r="C422" s="399" t="s">
        <v>2328</v>
      </c>
      <c r="D422" s="399" t="s">
        <v>1823</v>
      </c>
      <c r="E422" s="399" t="s">
        <v>889</v>
      </c>
      <c r="F422" s="399" t="s">
        <v>2332</v>
      </c>
      <c r="G422" s="399" t="s">
        <v>1239</v>
      </c>
      <c r="H422" s="399" t="s">
        <v>1239</v>
      </c>
      <c r="I422" s="399" t="s">
        <v>1239</v>
      </c>
      <c r="J422" s="399" t="s">
        <v>2329</v>
      </c>
      <c r="K422" s="789">
        <v>44682</v>
      </c>
      <c r="L422" s="399">
        <v>0</v>
      </c>
      <c r="M422" s="399">
        <v>0</v>
      </c>
      <c r="N422" s="399">
        <v>7.9139999999999997</v>
      </c>
      <c r="O422" s="399">
        <v>7.9139999999999997</v>
      </c>
      <c r="P422" s="399">
        <v>7.9139999999999997</v>
      </c>
      <c r="Q422" s="399">
        <v>7.9139999999999997</v>
      </c>
      <c r="R422" s="399"/>
      <c r="S422" s="399">
        <v>451.8</v>
      </c>
      <c r="T422" s="399">
        <v>141.32</v>
      </c>
      <c r="U422" s="399"/>
      <c r="V422" s="399">
        <v>4693.9516800000001</v>
      </c>
      <c r="W422" s="399">
        <v>4693.9516800000001</v>
      </c>
      <c r="X422" s="399">
        <v>3578.3942399999996</v>
      </c>
      <c r="Y422" s="399">
        <v>0</v>
      </c>
      <c r="Z422" s="399">
        <v>0</v>
      </c>
      <c r="AA422" s="399">
        <v>0</v>
      </c>
      <c r="AB422" s="399">
        <v>0</v>
      </c>
      <c r="AC422" s="399">
        <v>0</v>
      </c>
      <c r="AD422" s="399">
        <v>851.18079079483209</v>
      </c>
      <c r="AE422" s="399">
        <v>2571.6605905065285</v>
      </c>
      <c r="AF422" s="399">
        <v>1118.3980122731373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0</v>
      </c>
      <c r="AM422" s="399"/>
      <c r="AN422" s="399">
        <v>10.975662933027085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141.69936285902787</v>
      </c>
      <c r="BH422" s="399">
        <v>0</v>
      </c>
      <c r="BI422" s="399">
        <v>27.41</v>
      </c>
      <c r="BJ422" s="399">
        <v>127.58</v>
      </c>
      <c r="BK422" s="399">
        <v>776.77</v>
      </c>
      <c r="BL422" s="399">
        <v>57</v>
      </c>
      <c r="BM422" s="399"/>
      <c r="BN422" s="399"/>
      <c r="BO422" s="399"/>
      <c r="BP422" s="399"/>
      <c r="BQ422" s="399"/>
      <c r="BR422" s="399"/>
      <c r="BS422" s="399"/>
      <c r="BT422" s="399">
        <v>357.79193999999984</v>
      </c>
      <c r="BU422" s="399"/>
      <c r="BV422" s="399">
        <v>1260.0973751321651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3218.9745000000003</v>
      </c>
      <c r="CJ422" s="399">
        <v>-1005.6278400000001</v>
      </c>
      <c r="CK422" s="399"/>
      <c r="CL422" s="399"/>
      <c r="CM422" s="399"/>
      <c r="CN422" s="399"/>
      <c r="CO422" s="399">
        <v>-1115.5574400000003</v>
      </c>
      <c r="CP422" s="399">
        <v>0</v>
      </c>
      <c r="CQ422" s="399">
        <v>31</v>
      </c>
      <c r="CR422" s="399">
        <v>-4.4964921026876254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-4.0539214349690837</v>
      </c>
      <c r="DA422" s="399">
        <v>0</v>
      </c>
      <c r="DB422" s="399">
        <v>0</v>
      </c>
      <c r="DC422" s="399">
        <v>0</v>
      </c>
      <c r="DD422" s="399">
        <v>0</v>
      </c>
      <c r="DE422" s="399">
        <v>0</v>
      </c>
      <c r="DF422" s="399">
        <v>0</v>
      </c>
      <c r="DG422" s="399">
        <v>0</v>
      </c>
      <c r="DH422" s="399">
        <v>0</v>
      </c>
      <c r="DI422" s="399">
        <v>0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0</v>
      </c>
      <c r="DP422" s="399">
        <v>-0.44257066771830011</v>
      </c>
      <c r="DQ422" s="399">
        <v>0</v>
      </c>
      <c r="DR422" s="399">
        <v>0</v>
      </c>
      <c r="DS422" s="399"/>
      <c r="DT422" s="399"/>
      <c r="DU422" s="399"/>
      <c r="DV422" s="399">
        <v>2571.6605905065285</v>
      </c>
      <c r="DW422" s="399">
        <v>0</v>
      </c>
      <c r="DX422" s="399">
        <v>0</v>
      </c>
      <c r="DY422" s="399">
        <v>-1115.5574400000005</v>
      </c>
      <c r="DZ422" s="399">
        <v>0</v>
      </c>
      <c r="EA422" s="399">
        <v>0</v>
      </c>
      <c r="EB422" s="399">
        <v>0</v>
      </c>
      <c r="EC422" s="399">
        <v>-1111.0072244819969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218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421</v>
      </c>
      <c r="B423" s="399" t="s">
        <v>2361</v>
      </c>
      <c r="C423" s="399" t="s">
        <v>2328</v>
      </c>
      <c r="D423" s="399" t="s">
        <v>1823</v>
      </c>
      <c r="E423" s="399" t="s">
        <v>889</v>
      </c>
      <c r="F423" s="399" t="s">
        <v>2332</v>
      </c>
      <c r="G423" s="399" t="s">
        <v>1239</v>
      </c>
      <c r="H423" s="399" t="s">
        <v>1239</v>
      </c>
      <c r="I423" s="399" t="s">
        <v>1239</v>
      </c>
      <c r="J423" s="399" t="s">
        <v>2329</v>
      </c>
      <c r="K423" s="789">
        <v>44682</v>
      </c>
      <c r="L423" s="399">
        <v>0</v>
      </c>
      <c r="M423" s="399">
        <v>0</v>
      </c>
      <c r="N423" s="399">
        <v>0</v>
      </c>
      <c r="O423" s="399">
        <v>0</v>
      </c>
      <c r="P423" s="399">
        <v>0</v>
      </c>
      <c r="Q423" s="399">
        <v>0</v>
      </c>
      <c r="R423" s="399"/>
      <c r="S423" s="399"/>
      <c r="T423" s="399"/>
      <c r="U423" s="399"/>
      <c r="V423" s="399"/>
      <c r="W423" s="399"/>
      <c r="X423" s="399"/>
      <c r="Y423" s="399"/>
      <c r="Z423" s="399"/>
      <c r="AA423" s="399">
        <v>0</v>
      </c>
      <c r="AB423" s="399"/>
      <c r="AC423" s="399"/>
      <c r="AD423" s="399"/>
      <c r="AE423" s="399"/>
      <c r="AF423" s="399"/>
      <c r="AG423" s="399"/>
      <c r="AH423" s="399"/>
      <c r="AI423" s="399"/>
      <c r="AJ423" s="399"/>
      <c r="AK423" s="399"/>
      <c r="AL423" s="399"/>
      <c r="AM423" s="399"/>
      <c r="AN423" s="399"/>
      <c r="AO423" s="399"/>
      <c r="AP423" s="399"/>
      <c r="AQ423" s="399"/>
      <c r="AR423" s="399"/>
      <c r="AS423" s="399"/>
      <c r="AT423" s="399"/>
      <c r="AU423" s="399"/>
      <c r="AV423" s="399"/>
      <c r="AW423" s="399"/>
      <c r="AX423" s="399"/>
      <c r="AY423" s="399"/>
      <c r="AZ423" s="399">
        <v>0</v>
      </c>
      <c r="BA423" s="399"/>
      <c r="BB423" s="399"/>
      <c r="BC423" s="399"/>
      <c r="BD423" s="399"/>
      <c r="BE423" s="399"/>
      <c r="BF423" s="399"/>
      <c r="BG423" s="399"/>
      <c r="BH423" s="399"/>
      <c r="BI423" s="399">
        <v>0</v>
      </c>
      <c r="BJ423" s="399">
        <v>0</v>
      </c>
      <c r="BK423" s="399">
        <v>3.3</v>
      </c>
      <c r="BL423" s="399">
        <v>1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/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/>
      <c r="CJ423" s="399">
        <v>-0.03</v>
      </c>
      <c r="CK423" s="399"/>
      <c r="CL423" s="399"/>
      <c r="CM423" s="399"/>
      <c r="CN423" s="399"/>
      <c r="CO423" s="399">
        <v>0</v>
      </c>
      <c r="CP423" s="399">
        <v>0</v>
      </c>
      <c r="CQ423" s="399">
        <v>31</v>
      </c>
      <c r="CR423" s="399"/>
      <c r="CS423" s="399"/>
      <c r="CT423" s="399"/>
      <c r="CU423" s="399"/>
      <c r="CV423" s="399"/>
      <c r="CW423" s="399"/>
      <c r="CX423" s="399"/>
      <c r="CY423" s="399"/>
      <c r="CZ423" s="399"/>
      <c r="DA423" s="399"/>
      <c r="DB423" s="399"/>
      <c r="DC423" s="399"/>
      <c r="DD423" s="399"/>
      <c r="DE423" s="399"/>
      <c r="DF423" s="399"/>
      <c r="DG423" s="399"/>
      <c r="DH423" s="399"/>
      <c r="DI423" s="399"/>
      <c r="DJ423" s="399"/>
      <c r="DK423" s="399">
        <v>0</v>
      </c>
      <c r="DL423" s="399"/>
      <c r="DM423" s="399"/>
      <c r="DN423" s="399"/>
      <c r="DO423" s="399"/>
      <c r="DP423" s="399"/>
      <c r="DQ423" s="399"/>
      <c r="DR423" s="399"/>
      <c r="DS423" s="399"/>
      <c r="DT423" s="399"/>
      <c r="DU423" s="399"/>
      <c r="DV423" s="399"/>
      <c r="DW423" s="399"/>
      <c r="DX423" s="399"/>
      <c r="DY423" s="399"/>
      <c r="DZ423" s="399"/>
      <c r="EA423" s="399"/>
      <c r="EB423" s="399"/>
      <c r="EC423" s="399"/>
      <c r="ED423" s="399"/>
      <c r="EE423" s="399"/>
      <c r="EF423" s="399"/>
      <c r="EG423" s="399"/>
      <c r="EH423" s="399"/>
      <c r="EI423" s="399"/>
      <c r="EJ423" s="399"/>
      <c r="EK423" s="399"/>
      <c r="EL423" s="399"/>
      <c r="EM423" s="399"/>
      <c r="EN423" s="399"/>
      <c r="EO423" s="399"/>
      <c r="EP423" s="399"/>
      <c r="EQ423" s="399"/>
      <c r="ER423" s="399"/>
      <c r="ES423" s="399"/>
      <c r="ET423" s="399"/>
      <c r="EU423" s="399"/>
      <c r="EV423" s="399">
        <v>218</v>
      </c>
      <c r="EW423" s="399"/>
      <c r="EX423" s="399"/>
      <c r="EY423" s="399"/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422</v>
      </c>
      <c r="B424" s="399" t="s">
        <v>956</v>
      </c>
      <c r="C424" s="399" t="s">
        <v>2328</v>
      </c>
      <c r="D424" s="399" t="s">
        <v>1823</v>
      </c>
      <c r="E424" s="399" t="s">
        <v>889</v>
      </c>
      <c r="F424" s="399" t="s">
        <v>2333</v>
      </c>
      <c r="G424" s="399" t="s">
        <v>1239</v>
      </c>
      <c r="H424" s="399" t="s">
        <v>1239</v>
      </c>
      <c r="I424" s="399" t="s">
        <v>1239</v>
      </c>
      <c r="J424" s="399" t="s">
        <v>2329</v>
      </c>
      <c r="K424" s="789">
        <v>44682</v>
      </c>
      <c r="L424" s="399">
        <v>0</v>
      </c>
      <c r="M424" s="399">
        <v>0</v>
      </c>
      <c r="N424" s="399">
        <v>2.6309999999999998</v>
      </c>
      <c r="O424" s="399">
        <v>2.6309999999999998</v>
      </c>
      <c r="P424" s="399">
        <v>2.6309999999999998</v>
      </c>
      <c r="Q424" s="399">
        <v>2.6309999999999998</v>
      </c>
      <c r="R424" s="399"/>
      <c r="S424" s="399">
        <v>451.8</v>
      </c>
      <c r="T424" s="399">
        <v>141.32</v>
      </c>
      <c r="U424" s="399"/>
      <c r="V424" s="399">
        <v>1560.49872</v>
      </c>
      <c r="W424" s="399">
        <v>1560.49872</v>
      </c>
      <c r="X424" s="399">
        <v>1189.6329599999999</v>
      </c>
      <c r="Y424" s="399">
        <v>0</v>
      </c>
      <c r="Z424" s="399">
        <v>0</v>
      </c>
      <c r="AA424" s="399">
        <v>0</v>
      </c>
      <c r="AB424" s="399">
        <v>0</v>
      </c>
      <c r="AC424" s="399">
        <v>0</v>
      </c>
      <c r="AD424" s="399">
        <v>282.97405364938123</v>
      </c>
      <c r="AE424" s="399">
        <v>854.9455412715032</v>
      </c>
      <c r="AF424" s="399">
        <v>371.81010491415515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0</v>
      </c>
      <c r="AM424" s="399"/>
      <c r="AN424" s="399">
        <v>3.6488462442246976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47.107786666932313</v>
      </c>
      <c r="BH424" s="399">
        <v>0</v>
      </c>
      <c r="BI424" s="399">
        <v>9.6</v>
      </c>
      <c r="BJ424" s="399">
        <v>42.19</v>
      </c>
      <c r="BK424" s="399">
        <v>413.62</v>
      </c>
      <c r="BL424" s="399">
        <v>40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418.91789158108747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1189.1807999999999</v>
      </c>
      <c r="CJ424" s="399">
        <v>-371.34792000000016</v>
      </c>
      <c r="CK424" s="399"/>
      <c r="CL424" s="399"/>
      <c r="CM424" s="399"/>
      <c r="CN424" s="399"/>
      <c r="CO424" s="399">
        <v>-370.86576000000008</v>
      </c>
      <c r="CP424" s="399">
        <v>0</v>
      </c>
      <c r="CQ424" s="399">
        <v>31</v>
      </c>
      <c r="CR424" s="399">
        <v>-1.4948535155637046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-1.347721417159903</v>
      </c>
      <c r="DA424" s="399">
        <v>0</v>
      </c>
      <c r="DB424" s="399">
        <v>0</v>
      </c>
      <c r="DC424" s="399">
        <v>0</v>
      </c>
      <c r="DD424" s="399">
        <v>0</v>
      </c>
      <c r="DE424" s="399">
        <v>0</v>
      </c>
      <c r="DF424" s="399">
        <v>0</v>
      </c>
      <c r="DG424" s="399">
        <v>0</v>
      </c>
      <c r="DH424" s="399">
        <v>0</v>
      </c>
      <c r="DI424" s="399">
        <v>0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0</v>
      </c>
      <c r="DP424" s="399">
        <v>-0.1471320984036959</v>
      </c>
      <c r="DQ424" s="399">
        <v>0</v>
      </c>
      <c r="DR424" s="399">
        <v>0</v>
      </c>
      <c r="DS424" s="399"/>
      <c r="DT424" s="399"/>
      <c r="DU424" s="399"/>
      <c r="DV424" s="399">
        <v>854.9455412715032</v>
      </c>
      <c r="DW424" s="399">
        <v>0</v>
      </c>
      <c r="DX424" s="399">
        <v>0</v>
      </c>
      <c r="DY424" s="399">
        <v>-370.86576000000014</v>
      </c>
      <c r="DZ424" s="399">
        <v>0</v>
      </c>
      <c r="EA424" s="399">
        <v>0</v>
      </c>
      <c r="EB424" s="399">
        <v>0</v>
      </c>
      <c r="EC424" s="399">
        <v>-369.35304619814679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218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423</v>
      </c>
      <c r="B425" s="399" t="s">
        <v>956</v>
      </c>
      <c r="C425" s="399" t="s">
        <v>2328</v>
      </c>
      <c r="D425" s="399" t="s">
        <v>1826</v>
      </c>
      <c r="E425" s="399" t="s">
        <v>890</v>
      </c>
      <c r="F425" s="399" t="s">
        <v>1239</v>
      </c>
      <c r="G425" s="399" t="s">
        <v>1239</v>
      </c>
      <c r="H425" s="399" t="s">
        <v>1239</v>
      </c>
      <c r="I425" s="399" t="s">
        <v>1239</v>
      </c>
      <c r="J425" s="399" t="s">
        <v>2329</v>
      </c>
      <c r="K425" s="789">
        <v>44682</v>
      </c>
      <c r="L425" s="399">
        <v>0</v>
      </c>
      <c r="M425" s="399">
        <v>0</v>
      </c>
      <c r="N425" s="399">
        <v>156.66399999999999</v>
      </c>
      <c r="O425" s="399">
        <v>156.66399999999999</v>
      </c>
      <c r="P425" s="399">
        <v>156.66399999999999</v>
      </c>
      <c r="Q425" s="399">
        <v>156.66399999999999</v>
      </c>
      <c r="R425" s="399"/>
      <c r="S425" s="399">
        <v>521.86</v>
      </c>
      <c r="T425" s="399">
        <v>141.32</v>
      </c>
      <c r="U425" s="399"/>
      <c r="V425" s="399">
        <v>103896.43152</v>
      </c>
      <c r="W425" s="399">
        <v>103896.43152</v>
      </c>
      <c r="X425" s="399">
        <v>81203.651119999995</v>
      </c>
      <c r="Y425" s="399">
        <v>0</v>
      </c>
      <c r="Z425" s="399">
        <v>9505.9081852054278</v>
      </c>
      <c r="AA425" s="399">
        <v>0</v>
      </c>
      <c r="AB425" s="399">
        <v>0</v>
      </c>
      <c r="AC425" s="399">
        <v>0</v>
      </c>
      <c r="AD425" s="399">
        <v>16849.808871503861</v>
      </c>
      <c r="AE425" s="399">
        <v>50908.09132563998</v>
      </c>
      <c r="AF425" s="399">
        <v>22139.588854531055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1469.8204493593933</v>
      </c>
      <c r="AM425" s="399"/>
      <c r="AN425" s="399">
        <v>217.27208210004486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2805.0529419947866</v>
      </c>
      <c r="BH425" s="399">
        <v>0</v>
      </c>
      <c r="BI425" s="399">
        <v>561.57000000000005</v>
      </c>
      <c r="BJ425" s="399">
        <v>2595.0500000000002</v>
      </c>
      <c r="BK425" s="399">
        <v>28784.79</v>
      </c>
      <c r="BL425" s="399">
        <v>140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24944.641796525841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81201.577799999999</v>
      </c>
      <c r="CJ425" s="399">
        <v>-22694.883719999983</v>
      </c>
      <c r="CK425" s="399"/>
      <c r="CL425" s="399"/>
      <c r="CM425" s="399"/>
      <c r="CN425" s="399"/>
      <c r="CO425" s="399">
        <v>-22692.780400000003</v>
      </c>
      <c r="CP425" s="399">
        <v>0</v>
      </c>
      <c r="CQ425" s="399">
        <v>31</v>
      </c>
      <c r="CR425" s="399">
        <v>-698.05363765127549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-80.25063781753488</v>
      </c>
      <c r="DA425" s="399">
        <v>0</v>
      </c>
      <c r="DB425" s="399">
        <v>0</v>
      </c>
      <c r="DC425" s="399">
        <v>0</v>
      </c>
      <c r="DD425" s="399">
        <v>0</v>
      </c>
      <c r="DE425" s="399">
        <v>0</v>
      </c>
      <c r="DF425" s="399">
        <v>0</v>
      </c>
      <c r="DG425" s="399">
        <v>0</v>
      </c>
      <c r="DH425" s="399">
        <v>0</v>
      </c>
      <c r="DI425" s="399">
        <v>-535.59767149786239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-73.444285742070178</v>
      </c>
      <c r="DP425" s="399">
        <v>-8.7610425938109415</v>
      </c>
      <c r="DQ425" s="399">
        <v>0</v>
      </c>
      <c r="DR425" s="399">
        <v>0</v>
      </c>
      <c r="DS425" s="399"/>
      <c r="DT425" s="399"/>
      <c r="DU425" s="399"/>
      <c r="DV425" s="399">
        <v>50908.09132563998</v>
      </c>
      <c r="DW425" s="399">
        <v>0</v>
      </c>
      <c r="DX425" s="399">
        <v>0</v>
      </c>
      <c r="DY425" s="399">
        <v>-22692.780400000011</v>
      </c>
      <c r="DZ425" s="399">
        <v>0</v>
      </c>
      <c r="EA425" s="399">
        <v>0</v>
      </c>
      <c r="EB425" s="399">
        <v>0</v>
      </c>
      <c r="EC425" s="399">
        <v>-21993.282261340359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218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424</v>
      </c>
      <c r="B426" s="399" t="s">
        <v>2361</v>
      </c>
      <c r="C426" s="399" t="s">
        <v>2328</v>
      </c>
      <c r="D426" s="399" t="s">
        <v>1826</v>
      </c>
      <c r="E426" s="399" t="s">
        <v>890</v>
      </c>
      <c r="F426" s="399" t="s">
        <v>1239</v>
      </c>
      <c r="G426" s="399" t="s">
        <v>1239</v>
      </c>
      <c r="H426" s="399" t="s">
        <v>1239</v>
      </c>
      <c r="I426" s="399" t="s">
        <v>1239</v>
      </c>
      <c r="J426" s="399" t="s">
        <v>2329</v>
      </c>
      <c r="K426" s="789">
        <v>44682</v>
      </c>
      <c r="L426" s="399">
        <v>0</v>
      </c>
      <c r="M426" s="399">
        <v>0</v>
      </c>
      <c r="N426" s="399">
        <v>7.5190000000000001</v>
      </c>
      <c r="O426" s="399">
        <v>7.5190000000000001</v>
      </c>
      <c r="P426" s="399">
        <v>7.5190000000000001</v>
      </c>
      <c r="Q426" s="399">
        <v>7.5190000000000001</v>
      </c>
      <c r="R426" s="399"/>
      <c r="S426" s="399">
        <v>521.86</v>
      </c>
      <c r="T426" s="399">
        <v>141.32</v>
      </c>
      <c r="U426" s="399"/>
      <c r="V426" s="399">
        <v>4986.4504200000001</v>
      </c>
      <c r="W426" s="399">
        <v>4986.4504200000001</v>
      </c>
      <c r="X426" s="399">
        <v>3897.3232699999999</v>
      </c>
      <c r="Y426" s="399">
        <v>0</v>
      </c>
      <c r="Z426" s="399">
        <v>456.23068250880618</v>
      </c>
      <c r="AA426" s="399">
        <v>0</v>
      </c>
      <c r="AB426" s="399">
        <v>0</v>
      </c>
      <c r="AC426" s="399">
        <v>0</v>
      </c>
      <c r="AD426" s="399">
        <v>808.69703891664676</v>
      </c>
      <c r="AE426" s="399">
        <v>2443.3050265376028</v>
      </c>
      <c r="AF426" s="399">
        <v>1062.5770349105028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70.543200471922574</v>
      </c>
      <c r="AM426" s="399"/>
      <c r="AN426" s="399">
        <v>10.427850593054163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134.6269281446842</v>
      </c>
      <c r="BH426" s="399">
        <v>0</v>
      </c>
      <c r="BI426" s="399">
        <v>27.72</v>
      </c>
      <c r="BJ426" s="399">
        <v>128.15</v>
      </c>
      <c r="BK426" s="399">
        <v>4411.46</v>
      </c>
      <c r="BL426" s="399">
        <v>11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1197.2039630551869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3897.8415999999997</v>
      </c>
      <c r="CJ426" s="399">
        <v>-1088.638820000001</v>
      </c>
      <c r="CK426" s="399"/>
      <c r="CL426" s="399"/>
      <c r="CM426" s="399"/>
      <c r="CN426" s="399"/>
      <c r="CO426" s="399">
        <v>-1089.1271500000003</v>
      </c>
      <c r="CP426" s="399">
        <v>0</v>
      </c>
      <c r="CQ426" s="399">
        <v>31</v>
      </c>
      <c r="CR426" s="399">
        <v>-33.502689204284252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-3.8515839360035216</v>
      </c>
      <c r="DA426" s="399">
        <v>0</v>
      </c>
      <c r="DB426" s="399">
        <v>0</v>
      </c>
      <c r="DC426" s="399">
        <v>0</v>
      </c>
      <c r="DD426" s="399">
        <v>0</v>
      </c>
      <c r="DE426" s="399">
        <v>0</v>
      </c>
      <c r="DF426" s="399">
        <v>0</v>
      </c>
      <c r="DG426" s="399">
        <v>0</v>
      </c>
      <c r="DH426" s="399">
        <v>0</v>
      </c>
      <c r="DI426" s="399">
        <v>-25.705707067305923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-3.5249169208920108</v>
      </c>
      <c r="DP426" s="399">
        <v>-0.42048128008262609</v>
      </c>
      <c r="DQ426" s="399">
        <v>0</v>
      </c>
      <c r="DR426" s="399">
        <v>0</v>
      </c>
      <c r="DS426" s="399"/>
      <c r="DT426" s="399"/>
      <c r="DU426" s="399"/>
      <c r="DV426" s="399">
        <v>2443.3050265376028</v>
      </c>
      <c r="DW426" s="399">
        <v>0</v>
      </c>
      <c r="DX426" s="399">
        <v>0</v>
      </c>
      <c r="DY426" s="399">
        <v>-1089.1271500000003</v>
      </c>
      <c r="DZ426" s="399">
        <v>0</v>
      </c>
      <c r="EA426" s="399">
        <v>0</v>
      </c>
      <c r="EB426" s="399">
        <v>0</v>
      </c>
      <c r="EC426" s="399">
        <v>-1055.5551327874823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218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425</v>
      </c>
      <c r="B427" s="399" t="s">
        <v>956</v>
      </c>
      <c r="C427" s="399" t="s">
        <v>2334</v>
      </c>
      <c r="D427" s="399" t="s">
        <v>533</v>
      </c>
      <c r="E427" s="399" t="s">
        <v>890</v>
      </c>
      <c r="F427" s="399" t="s">
        <v>1239</v>
      </c>
      <c r="G427" s="399" t="s">
        <v>1239</v>
      </c>
      <c r="H427" s="399" t="s">
        <v>1239</v>
      </c>
      <c r="I427" s="399" t="s">
        <v>893</v>
      </c>
      <c r="J427" s="399" t="s">
        <v>2329</v>
      </c>
      <c r="K427" s="789">
        <v>44682</v>
      </c>
      <c r="L427" s="399">
        <v>0</v>
      </c>
      <c r="M427" s="399">
        <v>0</v>
      </c>
      <c r="N427" s="399">
        <v>90.688999999999993</v>
      </c>
      <c r="O427" s="399">
        <v>90.688999999999993</v>
      </c>
      <c r="P427" s="399">
        <v>90.688999999999993</v>
      </c>
      <c r="Q427" s="399">
        <v>90.688999999999993</v>
      </c>
      <c r="R427" s="399"/>
      <c r="S427" s="399">
        <v>2741.05</v>
      </c>
      <c r="T427" s="399">
        <v>141.32</v>
      </c>
      <c r="U427" s="399"/>
      <c r="V427" s="399">
        <v>261399.25293000002</v>
      </c>
      <c r="W427" s="399">
        <v>261399.25293000002</v>
      </c>
      <c r="X427" s="399">
        <v>187171.21331999998</v>
      </c>
      <c r="Y427" s="399">
        <v>0</v>
      </c>
      <c r="Z427" s="399">
        <v>4787.3840668248149</v>
      </c>
      <c r="AA427" s="399">
        <v>0</v>
      </c>
      <c r="AB427" s="399">
        <v>0</v>
      </c>
      <c r="AC427" s="399">
        <v>0</v>
      </c>
      <c r="AD427" s="399">
        <v>71967.296980640458</v>
      </c>
      <c r="AE427" s="399">
        <v>170296.5965028333</v>
      </c>
      <c r="AF427" s="399">
        <v>12816.072445670779</v>
      </c>
      <c r="AG427" s="399">
        <v>0</v>
      </c>
      <c r="AH427" s="399">
        <v>0</v>
      </c>
      <c r="AI427" s="399">
        <v>0</v>
      </c>
      <c r="AJ427" s="399">
        <v>0</v>
      </c>
      <c r="AK427" s="399">
        <v>0</v>
      </c>
      <c r="AL427" s="399">
        <v>850.84350413594711</v>
      </c>
      <c r="AM427" s="399"/>
      <c r="AN427" s="399">
        <v>54.480728641157647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626.92928659203687</v>
      </c>
      <c r="BH427" s="399">
        <v>0</v>
      </c>
      <c r="BI427" s="399">
        <v>0</v>
      </c>
      <c r="BJ427" s="399">
        <v>0</v>
      </c>
      <c r="BK427" s="399">
        <v>0</v>
      </c>
      <c r="BL427" s="399">
        <v>0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13443.001732262815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187173.27720000001</v>
      </c>
      <c r="CJ427" s="399">
        <v>-74226.005730000034</v>
      </c>
      <c r="CK427" s="399"/>
      <c r="CL427" s="399"/>
      <c r="CM427" s="399"/>
      <c r="CN427" s="399"/>
      <c r="CO427" s="399">
        <v>-74228.039610000022</v>
      </c>
      <c r="CP427" s="399">
        <v>0</v>
      </c>
      <c r="CQ427" s="399">
        <v>31</v>
      </c>
      <c r="CR427" s="399">
        <v>-657.20956066413783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-342.75887214788236</v>
      </c>
      <c r="DA427" s="399">
        <v>0</v>
      </c>
      <c r="DB427" s="399">
        <v>0</v>
      </c>
      <c r="DC427" s="399">
        <v>0</v>
      </c>
      <c r="DD427" s="399">
        <v>0</v>
      </c>
      <c r="DE427" s="399">
        <v>0</v>
      </c>
      <c r="DF427" s="399">
        <v>0</v>
      </c>
      <c r="DG427" s="399">
        <v>0</v>
      </c>
      <c r="DH427" s="399">
        <v>0</v>
      </c>
      <c r="DI427" s="399">
        <v>-269.73874655638792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-42.515120446705055</v>
      </c>
      <c r="DP427" s="399">
        <v>-2.1968215131629805</v>
      </c>
      <c r="DQ427" s="399">
        <v>0</v>
      </c>
      <c r="DR427" s="399">
        <v>0</v>
      </c>
      <c r="DS427" s="399"/>
      <c r="DT427" s="399"/>
      <c r="DU427" s="399"/>
      <c r="DV427" s="399">
        <v>170296.5965028333</v>
      </c>
      <c r="DW427" s="399">
        <v>0</v>
      </c>
      <c r="DX427" s="399">
        <v>0</v>
      </c>
      <c r="DY427" s="399">
        <v>-74228.039610000036</v>
      </c>
      <c r="DZ427" s="399">
        <v>0</v>
      </c>
      <c r="EA427" s="399">
        <v>0</v>
      </c>
      <c r="EB427" s="399">
        <v>0</v>
      </c>
      <c r="EC427" s="399">
        <v>-73571.430739263349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218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426</v>
      </c>
      <c r="B428" s="399" t="s">
        <v>2361</v>
      </c>
      <c r="C428" s="399" t="s">
        <v>2334</v>
      </c>
      <c r="D428" s="399" t="s">
        <v>533</v>
      </c>
      <c r="E428" s="399" t="s">
        <v>890</v>
      </c>
      <c r="F428" s="399" t="s">
        <v>1239</v>
      </c>
      <c r="G428" s="399" t="s">
        <v>1239</v>
      </c>
      <c r="H428" s="399" t="s">
        <v>1239</v>
      </c>
      <c r="I428" s="399" t="s">
        <v>893</v>
      </c>
      <c r="J428" s="399" t="s">
        <v>2329</v>
      </c>
      <c r="K428" s="789">
        <v>44682</v>
      </c>
      <c r="L428" s="399">
        <v>0</v>
      </c>
      <c r="M428" s="399">
        <v>0</v>
      </c>
      <c r="N428" s="399">
        <v>0.38800000000000001</v>
      </c>
      <c r="O428" s="399">
        <v>0.38800000000000001</v>
      </c>
      <c r="P428" s="399">
        <v>0.38800000000000001</v>
      </c>
      <c r="Q428" s="399">
        <v>0.38800000000000001</v>
      </c>
      <c r="R428" s="399"/>
      <c r="S428" s="399">
        <v>2741.05</v>
      </c>
      <c r="T428" s="399">
        <v>141.32</v>
      </c>
      <c r="U428" s="399"/>
      <c r="V428" s="399">
        <v>1118.3595600000001</v>
      </c>
      <c r="W428" s="399">
        <v>1118.3595600000001</v>
      </c>
      <c r="X428" s="399">
        <v>800.78543999999999</v>
      </c>
      <c r="Y428" s="399">
        <v>0</v>
      </c>
      <c r="Z428" s="399">
        <v>20.482142464113931</v>
      </c>
      <c r="AA428" s="399">
        <v>0</v>
      </c>
      <c r="AB428" s="399">
        <v>0</v>
      </c>
      <c r="AC428" s="399">
        <v>0</v>
      </c>
      <c r="AD428" s="399">
        <v>307.90185390166943</v>
      </c>
      <c r="AE428" s="399">
        <v>728.58978975508967</v>
      </c>
      <c r="AF428" s="399">
        <v>54.831744852410573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3.6402130314012449</v>
      </c>
      <c r="AM428" s="399"/>
      <c r="AN428" s="399">
        <v>0.23308805602409519</v>
      </c>
      <c r="AO428" s="399">
        <v>0</v>
      </c>
      <c r="AP428" s="399">
        <v>0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2.6822278688452883</v>
      </c>
      <c r="BH428" s="399">
        <v>0</v>
      </c>
      <c r="BI428" s="399">
        <v>0</v>
      </c>
      <c r="BJ428" s="399">
        <v>0</v>
      </c>
      <c r="BK428" s="399">
        <v>0</v>
      </c>
      <c r="BL428" s="399">
        <v>0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57.513972721255861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804.91319999999996</v>
      </c>
      <c r="CJ428" s="399">
        <v>-313.47636000000011</v>
      </c>
      <c r="CK428" s="399"/>
      <c r="CL428" s="399"/>
      <c r="CM428" s="399"/>
      <c r="CN428" s="399"/>
      <c r="CO428" s="399">
        <v>-317.57412000000011</v>
      </c>
      <c r="CP428" s="399">
        <v>0</v>
      </c>
      <c r="CQ428" s="399">
        <v>31</v>
      </c>
      <c r="CR428" s="399">
        <v>-2.8117777187716229</v>
      </c>
      <c r="CS428" s="399">
        <v>0</v>
      </c>
      <c r="CT428" s="399">
        <v>0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-1.4664451299868233</v>
      </c>
      <c r="DA428" s="399">
        <v>0</v>
      </c>
      <c r="DB428" s="399">
        <v>0</v>
      </c>
      <c r="DC428" s="399">
        <v>0</v>
      </c>
      <c r="DD428" s="399">
        <v>0</v>
      </c>
      <c r="DE428" s="399">
        <v>0</v>
      </c>
      <c r="DF428" s="399">
        <v>0</v>
      </c>
      <c r="DG428" s="399">
        <v>0</v>
      </c>
      <c r="DH428" s="399">
        <v>0</v>
      </c>
      <c r="DI428" s="399">
        <v>-1.1540388984758714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-0.1818949016233673</v>
      </c>
      <c r="DP428" s="399">
        <v>-9.3987886855874114E-3</v>
      </c>
      <c r="DQ428" s="399">
        <v>0</v>
      </c>
      <c r="DR428" s="399">
        <v>0</v>
      </c>
      <c r="DS428" s="399"/>
      <c r="DT428" s="399"/>
      <c r="DU428" s="399"/>
      <c r="DV428" s="399">
        <v>728.58978975508967</v>
      </c>
      <c r="DW428" s="399">
        <v>0</v>
      </c>
      <c r="DX428" s="399">
        <v>0</v>
      </c>
      <c r="DY428" s="399">
        <v>-317.57412000000022</v>
      </c>
      <c r="DZ428" s="399">
        <v>0</v>
      </c>
      <c r="EA428" s="399">
        <v>0</v>
      </c>
      <c r="EB428" s="399">
        <v>0</v>
      </c>
      <c r="EC428" s="399">
        <v>-314.76491224772775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218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427</v>
      </c>
      <c r="B429" s="399" t="s">
        <v>956</v>
      </c>
      <c r="C429" s="399" t="s">
        <v>2334</v>
      </c>
      <c r="D429" s="399" t="s">
        <v>533</v>
      </c>
      <c r="E429" s="399" t="s">
        <v>890</v>
      </c>
      <c r="F429" s="399" t="s">
        <v>1239</v>
      </c>
      <c r="G429" s="399" t="s">
        <v>1239</v>
      </c>
      <c r="H429" s="399" t="s">
        <v>1239</v>
      </c>
      <c r="I429" s="399" t="s">
        <v>2326</v>
      </c>
      <c r="J429" s="399" t="s">
        <v>2329</v>
      </c>
      <c r="K429" s="789">
        <v>44682</v>
      </c>
      <c r="L429" s="399">
        <v>0</v>
      </c>
      <c r="M429" s="399">
        <v>0</v>
      </c>
      <c r="N429" s="399">
        <v>2325.7579999999998</v>
      </c>
      <c r="O429" s="399">
        <v>2325.7579999999998</v>
      </c>
      <c r="P429" s="399">
        <v>2325.7579999999998</v>
      </c>
      <c r="Q429" s="399">
        <v>2325.7579999999998</v>
      </c>
      <c r="R429" s="399"/>
      <c r="S429" s="399">
        <v>69.680000000000007</v>
      </c>
      <c r="T429" s="399">
        <v>141.32</v>
      </c>
      <c r="U429" s="399"/>
      <c r="V429" s="399">
        <v>490734.93799999997</v>
      </c>
      <c r="W429" s="399">
        <v>490734.93799999997</v>
      </c>
      <c r="X429" s="399">
        <v>482687.81531999994</v>
      </c>
      <c r="Y429" s="399">
        <v>0</v>
      </c>
      <c r="Z429" s="399">
        <v>122774.50178621826</v>
      </c>
      <c r="AA429" s="399">
        <v>0</v>
      </c>
      <c r="AB429" s="399">
        <v>0</v>
      </c>
      <c r="AC429" s="399">
        <v>0</v>
      </c>
      <c r="AD429" s="399">
        <v>0</v>
      </c>
      <c r="AE429" s="399">
        <v>0</v>
      </c>
      <c r="AF429" s="399">
        <v>328673.63207333168</v>
      </c>
      <c r="AG429" s="399">
        <v>0</v>
      </c>
      <c r="AH429" s="399">
        <v>0</v>
      </c>
      <c r="AI429" s="399">
        <v>0</v>
      </c>
      <c r="AJ429" s="399">
        <v>0</v>
      </c>
      <c r="AK429" s="399">
        <v>0</v>
      </c>
      <c r="AL429" s="399">
        <v>21820.243761561072</v>
      </c>
      <c r="AM429" s="399"/>
      <c r="AN429" s="399">
        <v>1397.1814716558956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16077.868360283195</v>
      </c>
      <c r="BH429" s="399">
        <v>0</v>
      </c>
      <c r="BI429" s="399">
        <v>0</v>
      </c>
      <c r="BJ429" s="399">
        <v>0</v>
      </c>
      <c r="BK429" s="399">
        <v>0</v>
      </c>
      <c r="BL429" s="399">
        <v>0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344751.50043361488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482688.2304</v>
      </c>
      <c r="CJ429" s="399">
        <v>-8046.7375999999931</v>
      </c>
      <c r="CK429" s="399"/>
      <c r="CL429" s="399"/>
      <c r="CM429" s="399"/>
      <c r="CN429" s="399"/>
      <c r="CO429" s="399">
        <v>-8047.1226800000177</v>
      </c>
      <c r="CP429" s="399">
        <v>0</v>
      </c>
      <c r="CQ429" s="399">
        <v>31</v>
      </c>
      <c r="CR429" s="399">
        <v>-8064.221729451092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0</v>
      </c>
      <c r="DA429" s="399">
        <v>0</v>
      </c>
      <c r="DB429" s="399">
        <v>0</v>
      </c>
      <c r="DC429" s="399">
        <v>0</v>
      </c>
      <c r="DD429" s="399">
        <v>0</v>
      </c>
      <c r="DE429" s="399">
        <v>0</v>
      </c>
      <c r="DF429" s="399">
        <v>0</v>
      </c>
      <c r="DG429" s="399">
        <v>0</v>
      </c>
      <c r="DH429" s="399">
        <v>0</v>
      </c>
      <c r="DI429" s="399">
        <v>-6917.5649495913531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-1090.3183572416492</v>
      </c>
      <c r="DP429" s="399">
        <v>-56.338422618078312</v>
      </c>
      <c r="DQ429" s="399">
        <v>0</v>
      </c>
      <c r="DR429" s="399">
        <v>0</v>
      </c>
      <c r="DS429" s="399"/>
      <c r="DT429" s="399"/>
      <c r="DU429" s="399"/>
      <c r="DV429" s="399">
        <v>0</v>
      </c>
      <c r="DW429" s="399">
        <v>0</v>
      </c>
      <c r="DX429" s="399">
        <v>0</v>
      </c>
      <c r="DY429" s="399">
        <v>-8047.1226800000295</v>
      </c>
      <c r="DZ429" s="399">
        <v>0</v>
      </c>
      <c r="EA429" s="399">
        <v>0</v>
      </c>
      <c r="EB429" s="399">
        <v>0</v>
      </c>
      <c r="EC429" s="399">
        <v>0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0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218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428</v>
      </c>
      <c r="B430" s="399" t="s">
        <v>2361</v>
      </c>
      <c r="C430" s="399" t="s">
        <v>2334</v>
      </c>
      <c r="D430" s="399" t="s">
        <v>533</v>
      </c>
      <c r="E430" s="399" t="s">
        <v>890</v>
      </c>
      <c r="F430" s="399" t="s">
        <v>1239</v>
      </c>
      <c r="G430" s="399" t="s">
        <v>1239</v>
      </c>
      <c r="H430" s="399" t="s">
        <v>1239</v>
      </c>
      <c r="I430" s="399" t="s">
        <v>2326</v>
      </c>
      <c r="J430" s="399" t="s">
        <v>2329</v>
      </c>
      <c r="K430" s="789">
        <v>44682</v>
      </c>
      <c r="L430" s="399">
        <v>0</v>
      </c>
      <c r="M430" s="399">
        <v>0</v>
      </c>
      <c r="N430" s="399">
        <v>18.254999999999999</v>
      </c>
      <c r="O430" s="399">
        <v>18.254999999999999</v>
      </c>
      <c r="P430" s="399">
        <v>18.254999999999999</v>
      </c>
      <c r="Q430" s="399">
        <v>18.254999999999999</v>
      </c>
      <c r="R430" s="399"/>
      <c r="S430" s="399">
        <v>69.680000000000007</v>
      </c>
      <c r="T430" s="399">
        <v>141.32</v>
      </c>
      <c r="U430" s="399"/>
      <c r="V430" s="399">
        <v>3851.8049999999998</v>
      </c>
      <c r="W430" s="399">
        <v>3851.8049999999998</v>
      </c>
      <c r="X430" s="399">
        <v>3788.6426999999994</v>
      </c>
      <c r="Y430" s="399">
        <v>0</v>
      </c>
      <c r="Z430" s="399">
        <v>963.66368732577257</v>
      </c>
      <c r="AA430" s="399">
        <v>0</v>
      </c>
      <c r="AB430" s="399">
        <v>0</v>
      </c>
      <c r="AC430" s="399">
        <v>0</v>
      </c>
      <c r="AD430" s="399">
        <v>0</v>
      </c>
      <c r="AE430" s="399">
        <v>0</v>
      </c>
      <c r="AF430" s="399">
        <v>2579.7770677339045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171.26827033048897</v>
      </c>
      <c r="AM430" s="399"/>
      <c r="AN430" s="399">
        <v>10.966552738968705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126.19605604580086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2705.9731237797055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3789.6804000000002</v>
      </c>
      <c r="CJ430" s="399">
        <v>-62.154599999999846</v>
      </c>
      <c r="CK430" s="399"/>
      <c r="CL430" s="399"/>
      <c r="CM430" s="399"/>
      <c r="CN430" s="399"/>
      <c r="CO430" s="399">
        <v>-63.162300000000144</v>
      </c>
      <c r="CP430" s="399">
        <v>0</v>
      </c>
      <c r="CQ430" s="399">
        <v>31</v>
      </c>
      <c r="CR430" s="399">
        <v>-63.296511361512785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0</v>
      </c>
      <c r="DA430" s="399">
        <v>0</v>
      </c>
      <c r="DB430" s="399">
        <v>0</v>
      </c>
      <c r="DC430" s="399">
        <v>0</v>
      </c>
      <c r="DD430" s="399">
        <v>0</v>
      </c>
      <c r="DE430" s="399">
        <v>0</v>
      </c>
      <c r="DF430" s="399">
        <v>0</v>
      </c>
      <c r="DG430" s="399">
        <v>0</v>
      </c>
      <c r="DH430" s="399">
        <v>0</v>
      </c>
      <c r="DI430" s="399">
        <v>-54.296340442466544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-8.5579676008622982</v>
      </c>
      <c r="DP430" s="399">
        <v>-0.44220331818401704</v>
      </c>
      <c r="DQ430" s="399">
        <v>0</v>
      </c>
      <c r="DR430" s="399">
        <v>0</v>
      </c>
      <c r="DS430" s="399"/>
      <c r="DT430" s="399"/>
      <c r="DU430" s="399"/>
      <c r="DV430" s="399">
        <v>0</v>
      </c>
      <c r="DW430" s="399">
        <v>0</v>
      </c>
      <c r="DX430" s="399">
        <v>0</v>
      </c>
      <c r="DY430" s="399">
        <v>-63.162300000000187</v>
      </c>
      <c r="DZ430" s="399">
        <v>0</v>
      </c>
      <c r="EA430" s="399">
        <v>0</v>
      </c>
      <c r="EB430" s="399">
        <v>0</v>
      </c>
      <c r="EC430" s="399">
        <v>0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218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956</v>
      </c>
      <c r="C431" s="399" t="s">
        <v>2334</v>
      </c>
      <c r="D431" s="399" t="s">
        <v>533</v>
      </c>
      <c r="E431" s="399" t="s">
        <v>890</v>
      </c>
      <c r="F431" s="399" t="s">
        <v>1239</v>
      </c>
      <c r="G431" s="399" t="s">
        <v>1239</v>
      </c>
      <c r="H431" s="399" t="s">
        <v>1239</v>
      </c>
      <c r="I431" s="399" t="s">
        <v>1239</v>
      </c>
      <c r="J431" s="399" t="s">
        <v>2329</v>
      </c>
      <c r="K431" s="789">
        <v>44682</v>
      </c>
      <c r="L431" s="399">
        <v>10896</v>
      </c>
      <c r="M431" s="399">
        <v>10896</v>
      </c>
      <c r="N431" s="399">
        <v>0</v>
      </c>
      <c r="O431" s="399">
        <v>0</v>
      </c>
      <c r="P431" s="399">
        <v>0</v>
      </c>
      <c r="Q431" s="399">
        <v>0</v>
      </c>
      <c r="R431" s="399">
        <v>35.15</v>
      </c>
      <c r="S431" s="399"/>
      <c r="T431" s="399"/>
      <c r="U431" s="399">
        <v>382994.39999999997</v>
      </c>
      <c r="V431" s="399"/>
      <c r="W431" s="399">
        <v>382994.39999999997</v>
      </c>
      <c r="X431" s="399">
        <v>279591.36</v>
      </c>
      <c r="Y431" s="399">
        <v>0</v>
      </c>
      <c r="Z431" s="399">
        <v>0</v>
      </c>
      <c r="AA431" s="399">
        <v>0</v>
      </c>
      <c r="AB431" s="399">
        <v>0</v>
      </c>
      <c r="AC431" s="399">
        <v>0</v>
      </c>
      <c r="AD431" s="399">
        <v>145258.6433953513</v>
      </c>
      <c r="AE431" s="399">
        <v>237728.67980310283</v>
      </c>
      <c r="AF431" s="399"/>
      <c r="AG431" s="399"/>
      <c r="AH431" s="399"/>
      <c r="AI431" s="399">
        <v>0</v>
      </c>
      <c r="AJ431" s="399">
        <v>0</v>
      </c>
      <c r="AK431" s="399">
        <v>0</v>
      </c>
      <c r="AL431" s="399">
        <v>0</v>
      </c>
      <c r="AM431" s="399"/>
      <c r="AN431" s="399">
        <v>0</v>
      </c>
      <c r="AO431" s="399">
        <v>0</v>
      </c>
      <c r="AP431" s="399">
        <v>0</v>
      </c>
      <c r="AQ431" s="399">
        <v>0</v>
      </c>
      <c r="AR431" s="399">
        <v>0</v>
      </c>
      <c r="AS431" s="399"/>
      <c r="AT431" s="399"/>
      <c r="AU431" s="399">
        <v>0</v>
      </c>
      <c r="AV431" s="399">
        <v>0</v>
      </c>
      <c r="AW431" s="399">
        <v>0</v>
      </c>
      <c r="AX431" s="399"/>
      <c r="AY431" s="399"/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/>
      <c r="BG431" s="399">
        <v>0</v>
      </c>
      <c r="BH431" s="399">
        <v>0</v>
      </c>
      <c r="BI431" s="399">
        <v>6553.97</v>
      </c>
      <c r="BJ431" s="399">
        <v>30249.599999999999</v>
      </c>
      <c r="BK431" s="399">
        <v>324335.52</v>
      </c>
      <c r="BL431" s="399">
        <v>30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0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279591.36</v>
      </c>
      <c r="CJ431" s="399">
        <v>-103403.07</v>
      </c>
      <c r="CK431" s="399"/>
      <c r="CL431" s="399"/>
      <c r="CM431" s="399"/>
      <c r="CN431" s="399"/>
      <c r="CO431" s="399">
        <v>-103403.03999999998</v>
      </c>
      <c r="CP431" s="399">
        <v>0</v>
      </c>
      <c r="CQ431" s="399">
        <v>31</v>
      </c>
      <c r="CR431" s="399">
        <v>-691.82379870745353</v>
      </c>
      <c r="CS431" s="399">
        <v>0</v>
      </c>
      <c r="CT431" s="399">
        <v>0</v>
      </c>
      <c r="CU431" s="399">
        <v>0</v>
      </c>
      <c r="CV431" s="399">
        <v>0</v>
      </c>
      <c r="CW431" s="399"/>
      <c r="CX431" s="399"/>
      <c r="CY431" s="399"/>
      <c r="CZ431" s="399">
        <v>-691.82379870745353</v>
      </c>
      <c r="DA431" s="399">
        <v>0</v>
      </c>
      <c r="DB431" s="399">
        <v>0</v>
      </c>
      <c r="DC431" s="399"/>
      <c r="DD431" s="399"/>
      <c r="DE431" s="399">
        <v>0</v>
      </c>
      <c r="DF431" s="399">
        <v>0</v>
      </c>
      <c r="DG431" s="399">
        <v>0</v>
      </c>
      <c r="DH431" s="399">
        <v>0</v>
      </c>
      <c r="DI431" s="399">
        <v>0</v>
      </c>
      <c r="DJ431" s="399"/>
      <c r="DK431" s="399">
        <v>0</v>
      </c>
      <c r="DL431" s="399">
        <v>0</v>
      </c>
      <c r="DM431" s="399"/>
      <c r="DN431" s="399">
        <v>0</v>
      </c>
      <c r="DO431" s="399">
        <v>0</v>
      </c>
      <c r="DP431" s="399">
        <v>0</v>
      </c>
      <c r="DQ431" s="399">
        <v>0</v>
      </c>
      <c r="DR431" s="399">
        <v>0</v>
      </c>
      <c r="DS431" s="399"/>
      <c r="DT431" s="399"/>
      <c r="DU431" s="399">
        <v>237728.67980310283</v>
      </c>
      <c r="DV431" s="399"/>
      <c r="DW431" s="399">
        <v>0</v>
      </c>
      <c r="DX431" s="399">
        <v>0</v>
      </c>
      <c r="DY431" s="399">
        <v>-103403.03999999998</v>
      </c>
      <c r="DZ431" s="399"/>
      <c r="EA431" s="399">
        <v>0</v>
      </c>
      <c r="EB431" s="399"/>
      <c r="EC431" s="399">
        <v>-102703.39783672345</v>
      </c>
      <c r="ED431" s="399"/>
      <c r="EE431" s="399">
        <v>0</v>
      </c>
      <c r="EF431" s="399">
        <v>0</v>
      </c>
      <c r="EG431" s="399"/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/>
      <c r="EN431" s="399"/>
      <c r="EO431" s="399">
        <v>0</v>
      </c>
      <c r="EP431" s="399">
        <v>0</v>
      </c>
      <c r="EQ431" s="399"/>
      <c r="ER431" s="399">
        <v>0</v>
      </c>
      <c r="ES431" s="399"/>
      <c r="ET431" s="399">
        <v>0</v>
      </c>
      <c r="EU431" s="399"/>
      <c r="EV431" s="399">
        <v>218</v>
      </c>
      <c r="EW431" s="399"/>
      <c r="EX431" s="399"/>
      <c r="EY431" s="399"/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2361</v>
      </c>
      <c r="C432" s="399" t="s">
        <v>2334</v>
      </c>
      <c r="D432" s="399" t="s">
        <v>533</v>
      </c>
      <c r="E432" s="399" t="s">
        <v>890</v>
      </c>
      <c r="F432" s="399" t="s">
        <v>1239</v>
      </c>
      <c r="G432" s="399" t="s">
        <v>1239</v>
      </c>
      <c r="H432" s="399" t="s">
        <v>1239</v>
      </c>
      <c r="I432" s="399" t="s">
        <v>1239</v>
      </c>
      <c r="J432" s="399" t="s">
        <v>2329</v>
      </c>
      <c r="K432" s="789">
        <v>44682</v>
      </c>
      <c r="L432" s="399">
        <v>470</v>
      </c>
      <c r="M432" s="399">
        <v>470</v>
      </c>
      <c r="N432" s="399">
        <v>0</v>
      </c>
      <c r="O432" s="399">
        <v>0</v>
      </c>
      <c r="P432" s="399">
        <v>0</v>
      </c>
      <c r="Q432" s="399">
        <v>0</v>
      </c>
      <c r="R432" s="399">
        <v>35.15</v>
      </c>
      <c r="S432" s="399"/>
      <c r="T432" s="399"/>
      <c r="U432" s="399">
        <v>16520.5</v>
      </c>
      <c r="V432" s="399"/>
      <c r="W432" s="399">
        <v>16520.5</v>
      </c>
      <c r="X432" s="399">
        <v>12060.2</v>
      </c>
      <c r="Y432" s="399">
        <v>0</v>
      </c>
      <c r="Z432" s="399">
        <v>0</v>
      </c>
      <c r="AA432" s="399">
        <v>0</v>
      </c>
      <c r="AB432" s="399">
        <v>0</v>
      </c>
      <c r="AC432" s="399">
        <v>0</v>
      </c>
      <c r="AD432" s="399">
        <v>6265.7454474867027</v>
      </c>
      <c r="AE432" s="399">
        <v>10254.44929400315</v>
      </c>
      <c r="AF432" s="399"/>
      <c r="AG432" s="399"/>
      <c r="AH432" s="399"/>
      <c r="AI432" s="399">
        <v>0</v>
      </c>
      <c r="AJ432" s="399">
        <v>0</v>
      </c>
      <c r="AK432" s="399">
        <v>0</v>
      </c>
      <c r="AL432" s="399">
        <v>0</v>
      </c>
      <c r="AM432" s="399"/>
      <c r="AN432" s="399">
        <v>0</v>
      </c>
      <c r="AO432" s="399">
        <v>0</v>
      </c>
      <c r="AP432" s="399">
        <v>0</v>
      </c>
      <c r="AQ432" s="399">
        <v>0</v>
      </c>
      <c r="AR432" s="399">
        <v>0</v>
      </c>
      <c r="AS432" s="399"/>
      <c r="AT432" s="399"/>
      <c r="AU432" s="399">
        <v>0</v>
      </c>
      <c r="AV432" s="399">
        <v>0</v>
      </c>
      <c r="AW432" s="399">
        <v>0</v>
      </c>
      <c r="AX432" s="399"/>
      <c r="AY432" s="399"/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/>
      <c r="BG432" s="399">
        <v>0</v>
      </c>
      <c r="BH432" s="399">
        <v>0</v>
      </c>
      <c r="BI432" s="399">
        <v>126.59</v>
      </c>
      <c r="BJ432" s="399">
        <v>584.32000000000005</v>
      </c>
      <c r="BK432" s="399">
        <v>7942.87</v>
      </c>
      <c r="BL432" s="399">
        <v>2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0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12060.2</v>
      </c>
      <c r="CJ432" s="399">
        <v>-4460.3299999999945</v>
      </c>
      <c r="CK432" s="399"/>
      <c r="CL432" s="399"/>
      <c r="CM432" s="399"/>
      <c r="CN432" s="399"/>
      <c r="CO432" s="399">
        <v>-4460.2999999999993</v>
      </c>
      <c r="CP432" s="399">
        <v>0</v>
      </c>
      <c r="CQ432" s="399">
        <v>31</v>
      </c>
      <c r="CR432" s="399">
        <v>-29.84188559035465</v>
      </c>
      <c r="CS432" s="399">
        <v>0</v>
      </c>
      <c r="CT432" s="399">
        <v>0</v>
      </c>
      <c r="CU432" s="399">
        <v>0</v>
      </c>
      <c r="CV432" s="399">
        <v>0</v>
      </c>
      <c r="CW432" s="399"/>
      <c r="CX432" s="399"/>
      <c r="CY432" s="399"/>
      <c r="CZ432" s="399">
        <v>-29.84188559035465</v>
      </c>
      <c r="DA432" s="399">
        <v>0</v>
      </c>
      <c r="DB432" s="399">
        <v>0</v>
      </c>
      <c r="DC432" s="399"/>
      <c r="DD432" s="399"/>
      <c r="DE432" s="399">
        <v>0</v>
      </c>
      <c r="DF432" s="399">
        <v>0</v>
      </c>
      <c r="DG432" s="399">
        <v>0</v>
      </c>
      <c r="DH432" s="399">
        <v>0</v>
      </c>
      <c r="DI432" s="399">
        <v>0</v>
      </c>
      <c r="DJ432" s="399"/>
      <c r="DK432" s="399">
        <v>0</v>
      </c>
      <c r="DL432" s="399">
        <v>0</v>
      </c>
      <c r="DM432" s="399"/>
      <c r="DN432" s="399">
        <v>0</v>
      </c>
      <c r="DO432" s="399">
        <v>0</v>
      </c>
      <c r="DP432" s="399">
        <v>0</v>
      </c>
      <c r="DQ432" s="399">
        <v>0</v>
      </c>
      <c r="DR432" s="399">
        <v>0</v>
      </c>
      <c r="DS432" s="399"/>
      <c r="DT432" s="399"/>
      <c r="DU432" s="399">
        <v>10254.44929400315</v>
      </c>
      <c r="DV432" s="399"/>
      <c r="DW432" s="399">
        <v>0</v>
      </c>
      <c r="DX432" s="399">
        <v>0</v>
      </c>
      <c r="DY432" s="399">
        <v>-4460.2999999999993</v>
      </c>
      <c r="DZ432" s="399"/>
      <c r="EA432" s="399">
        <v>0</v>
      </c>
      <c r="EB432" s="399"/>
      <c r="EC432" s="399">
        <v>-4430.1208685077108</v>
      </c>
      <c r="ED432" s="399"/>
      <c r="EE432" s="399">
        <v>0</v>
      </c>
      <c r="EF432" s="399">
        <v>0</v>
      </c>
      <c r="EG432" s="399"/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/>
      <c r="EN432" s="399"/>
      <c r="EO432" s="399">
        <v>0</v>
      </c>
      <c r="EP432" s="399">
        <v>0</v>
      </c>
      <c r="EQ432" s="399"/>
      <c r="ER432" s="399">
        <v>0</v>
      </c>
      <c r="ES432" s="399"/>
      <c r="ET432" s="399">
        <v>0</v>
      </c>
      <c r="EU432" s="399"/>
      <c r="EV432" s="399">
        <v>218</v>
      </c>
      <c r="EW432" s="399"/>
      <c r="EX432" s="399"/>
      <c r="EY432" s="399"/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956</v>
      </c>
      <c r="C433" s="399" t="s">
        <v>2328</v>
      </c>
      <c r="D433" s="399" t="s">
        <v>1826</v>
      </c>
      <c r="E433" s="399" t="s">
        <v>918</v>
      </c>
      <c r="F433" s="399" t="s">
        <v>1239</v>
      </c>
      <c r="G433" s="399" t="s">
        <v>1239</v>
      </c>
      <c r="H433" s="399" t="s">
        <v>1239</v>
      </c>
      <c r="I433" s="399" t="s">
        <v>1239</v>
      </c>
      <c r="J433" s="399" t="s">
        <v>2329</v>
      </c>
      <c r="K433" s="789">
        <v>44682</v>
      </c>
      <c r="L433" s="399">
        <v>0</v>
      </c>
      <c r="M433" s="399">
        <v>0</v>
      </c>
      <c r="N433" s="399">
        <v>213.23699999999999</v>
      </c>
      <c r="O433" s="399">
        <v>213.23699999999999</v>
      </c>
      <c r="P433" s="399">
        <v>213.23699999999999</v>
      </c>
      <c r="Q433" s="399">
        <v>213.23699999999999</v>
      </c>
      <c r="R433" s="399"/>
      <c r="S433" s="399">
        <v>521.86</v>
      </c>
      <c r="T433" s="399">
        <v>141.32</v>
      </c>
      <c r="U433" s="399"/>
      <c r="V433" s="399">
        <v>141414.51366</v>
      </c>
      <c r="W433" s="399">
        <v>141414.51366</v>
      </c>
      <c r="X433" s="399">
        <v>110527.13420999999</v>
      </c>
      <c r="Y433" s="399">
        <v>0</v>
      </c>
      <c r="Z433" s="399">
        <v>12938.590510191556</v>
      </c>
      <c r="AA433" s="399">
        <v>0</v>
      </c>
      <c r="AB433" s="399">
        <v>0</v>
      </c>
      <c r="AC433" s="399">
        <v>0</v>
      </c>
      <c r="AD433" s="399">
        <v>22934.45012468001</v>
      </c>
      <c r="AE433" s="399">
        <v>69291.532643143873</v>
      </c>
      <c r="AF433" s="399">
        <v>30134.424683230602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2000.5879025178021</v>
      </c>
      <c r="AM433" s="399"/>
      <c r="AN433" s="399">
        <v>295.73129098431849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3817.9867371709033</v>
      </c>
      <c r="BH433" s="399">
        <v>0</v>
      </c>
      <c r="BI433" s="399">
        <v>765.31</v>
      </c>
      <c r="BJ433" s="399">
        <v>3545.97</v>
      </c>
      <c r="BK433" s="399">
        <v>38861.86</v>
      </c>
      <c r="BL433" s="399">
        <v>587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33952.411420401506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110528.68919999999</v>
      </c>
      <c r="CJ433" s="399">
        <v>-30885.854460000002</v>
      </c>
      <c r="CK433" s="399"/>
      <c r="CL433" s="399"/>
      <c r="CM433" s="399"/>
      <c r="CN433" s="399"/>
      <c r="CO433" s="399">
        <v>-30887.379450000004</v>
      </c>
      <c r="CP433" s="399">
        <v>0</v>
      </c>
      <c r="CQ433" s="399">
        <v>31</v>
      </c>
      <c r="CR433" s="399">
        <v>-950.12806727674615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-109.22997789088913</v>
      </c>
      <c r="DA433" s="399">
        <v>0</v>
      </c>
      <c r="DB433" s="399">
        <v>0</v>
      </c>
      <c r="DC433" s="399">
        <v>0</v>
      </c>
      <c r="DD433" s="399">
        <v>0</v>
      </c>
      <c r="DE433" s="399">
        <v>0</v>
      </c>
      <c r="DF433" s="399">
        <v>0</v>
      </c>
      <c r="DG433" s="399">
        <v>0</v>
      </c>
      <c r="DH433" s="399">
        <v>0</v>
      </c>
      <c r="DI433" s="399">
        <v>-729.00756189800813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-99.965781282118542</v>
      </c>
      <c r="DP433" s="399">
        <v>-11.924746205742679</v>
      </c>
      <c r="DQ433" s="399">
        <v>0</v>
      </c>
      <c r="DR433" s="399">
        <v>0</v>
      </c>
      <c r="DS433" s="399"/>
      <c r="DT433" s="399"/>
      <c r="DU433" s="399"/>
      <c r="DV433" s="399">
        <v>69291.532643143873</v>
      </c>
      <c r="DW433" s="399">
        <v>0</v>
      </c>
      <c r="DX433" s="399">
        <v>0</v>
      </c>
      <c r="DY433" s="399">
        <v>-30887.379450000008</v>
      </c>
      <c r="DZ433" s="399">
        <v>0</v>
      </c>
      <c r="EA433" s="399">
        <v>0</v>
      </c>
      <c r="EB433" s="399">
        <v>0</v>
      </c>
      <c r="EC433" s="399">
        <v>-29935.285257375232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218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2361</v>
      </c>
      <c r="C434" s="399" t="s">
        <v>2328</v>
      </c>
      <c r="D434" s="399" t="s">
        <v>1826</v>
      </c>
      <c r="E434" s="399" t="s">
        <v>918</v>
      </c>
      <c r="F434" s="399" t="s">
        <v>1239</v>
      </c>
      <c r="G434" s="399" t="s">
        <v>1239</v>
      </c>
      <c r="H434" s="399" t="s">
        <v>1239</v>
      </c>
      <c r="I434" s="399" t="s">
        <v>1239</v>
      </c>
      <c r="J434" s="399" t="s">
        <v>2329</v>
      </c>
      <c r="K434" s="789">
        <v>44682</v>
      </c>
      <c r="L434" s="399">
        <v>0</v>
      </c>
      <c r="M434" s="399">
        <v>0</v>
      </c>
      <c r="N434" s="399">
        <v>9.952</v>
      </c>
      <c r="O434" s="399">
        <v>9.952</v>
      </c>
      <c r="P434" s="399">
        <v>9.952</v>
      </c>
      <c r="Q434" s="399">
        <v>9.952</v>
      </c>
      <c r="R434" s="399"/>
      <c r="S434" s="399">
        <v>521.86</v>
      </c>
      <c r="T434" s="399">
        <v>141.32</v>
      </c>
      <c r="U434" s="399"/>
      <c r="V434" s="399">
        <v>6599.9673600000006</v>
      </c>
      <c r="W434" s="399">
        <v>6599.9673600000006</v>
      </c>
      <c r="X434" s="399">
        <v>5158.4201599999997</v>
      </c>
      <c r="Y434" s="399">
        <v>0</v>
      </c>
      <c r="Z434" s="399">
        <v>603.85792689554989</v>
      </c>
      <c r="AA434" s="399">
        <v>0</v>
      </c>
      <c r="AB434" s="399">
        <v>0</v>
      </c>
      <c r="AC434" s="399">
        <v>0</v>
      </c>
      <c r="AD434" s="399">
        <v>1070.3754397258238</v>
      </c>
      <c r="AE434" s="399">
        <v>3233.910310427214</v>
      </c>
      <c r="AF434" s="399">
        <v>1406.4059916783249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93.369587856972132</v>
      </c>
      <c r="AM434" s="399"/>
      <c r="AN434" s="399">
        <v>13.802097233950663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178.18954500543916</v>
      </c>
      <c r="BH434" s="399">
        <v>0</v>
      </c>
      <c r="BI434" s="399">
        <v>37.15</v>
      </c>
      <c r="BJ434" s="399">
        <v>172.29</v>
      </c>
      <c r="BK434" s="399">
        <v>4425.51</v>
      </c>
      <c r="BL434" s="399">
        <v>31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1584.5955366837641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5157.383499999999</v>
      </c>
      <c r="CJ434" s="399">
        <v>-1442.6138600000022</v>
      </c>
      <c r="CK434" s="399"/>
      <c r="CL434" s="399"/>
      <c r="CM434" s="399"/>
      <c r="CN434" s="399"/>
      <c r="CO434" s="399">
        <v>-1441.5472000000002</v>
      </c>
      <c r="CP434" s="399">
        <v>0</v>
      </c>
      <c r="CQ434" s="399">
        <v>31</v>
      </c>
      <c r="CR434" s="399">
        <v>-44.343498199365968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-5.0978804802643936</v>
      </c>
      <c r="DA434" s="399">
        <v>0</v>
      </c>
      <c r="DB434" s="399">
        <v>0</v>
      </c>
      <c r="DC434" s="399">
        <v>0</v>
      </c>
      <c r="DD434" s="399">
        <v>0</v>
      </c>
      <c r="DE434" s="399">
        <v>0</v>
      </c>
      <c r="DF434" s="399">
        <v>0</v>
      </c>
      <c r="DG434" s="399">
        <v>0</v>
      </c>
      <c r="DH434" s="399">
        <v>0</v>
      </c>
      <c r="DI434" s="399">
        <v>-34.023566529303025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-4.6655104663807947</v>
      </c>
      <c r="DP434" s="399">
        <v>-0.55654072341831373</v>
      </c>
      <c r="DQ434" s="399">
        <v>0</v>
      </c>
      <c r="DR434" s="399">
        <v>0</v>
      </c>
      <c r="DS434" s="399"/>
      <c r="DT434" s="399"/>
      <c r="DU434" s="399"/>
      <c r="DV434" s="399">
        <v>3233.910310427214</v>
      </c>
      <c r="DW434" s="399">
        <v>0</v>
      </c>
      <c r="DX434" s="399">
        <v>0</v>
      </c>
      <c r="DY434" s="399">
        <v>-1441.5472000000004</v>
      </c>
      <c r="DZ434" s="399">
        <v>0</v>
      </c>
      <c r="EA434" s="399">
        <v>0</v>
      </c>
      <c r="EB434" s="399">
        <v>0</v>
      </c>
      <c r="EC434" s="399">
        <v>-1397.1119406172393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218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956</v>
      </c>
      <c r="C435" s="399" t="s">
        <v>2334</v>
      </c>
      <c r="D435" s="399" t="s">
        <v>533</v>
      </c>
      <c r="E435" s="399" t="s">
        <v>918</v>
      </c>
      <c r="F435" s="399" t="s">
        <v>1239</v>
      </c>
      <c r="G435" s="399" t="s">
        <v>1239</v>
      </c>
      <c r="H435" s="399" t="s">
        <v>1239</v>
      </c>
      <c r="I435" s="399" t="s">
        <v>893</v>
      </c>
      <c r="J435" s="399" t="s">
        <v>2329</v>
      </c>
      <c r="K435" s="789">
        <v>44682</v>
      </c>
      <c r="L435" s="399">
        <v>0</v>
      </c>
      <c r="M435" s="399">
        <v>0</v>
      </c>
      <c r="N435" s="399">
        <v>2.0470000000000002</v>
      </c>
      <c r="O435" s="399">
        <v>2.0470000000000002</v>
      </c>
      <c r="P435" s="399">
        <v>2.0470000000000002</v>
      </c>
      <c r="Q435" s="399">
        <v>2.0470000000000002</v>
      </c>
      <c r="R435" s="399"/>
      <c r="S435" s="399">
        <v>2741.05</v>
      </c>
      <c r="T435" s="399">
        <v>141.32</v>
      </c>
      <c r="U435" s="399"/>
      <c r="V435" s="399">
        <v>5900.2113900000004</v>
      </c>
      <c r="W435" s="399">
        <v>5900.2113900000004</v>
      </c>
      <c r="X435" s="399">
        <v>4224.7623599999997</v>
      </c>
      <c r="Y435" s="399">
        <v>0</v>
      </c>
      <c r="Z435" s="399">
        <v>108.05913820629181</v>
      </c>
      <c r="AA435" s="399">
        <v>0</v>
      </c>
      <c r="AB435" s="399">
        <v>0</v>
      </c>
      <c r="AC435" s="399">
        <v>0</v>
      </c>
      <c r="AD435" s="399">
        <v>1624.4203477750448</v>
      </c>
      <c r="AE435" s="399">
        <v>3843.874483579043</v>
      </c>
      <c r="AF435" s="399">
        <v>289.27984977547538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19.20493833834626</v>
      </c>
      <c r="AM435" s="399"/>
      <c r="AN435" s="399">
        <v>1.2297197182508322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14.150825895686355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303.43067567116174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4230.9539999999997</v>
      </c>
      <c r="CJ435" s="399">
        <v>-1669.2873900000013</v>
      </c>
      <c r="CK435" s="399"/>
      <c r="CL435" s="399"/>
      <c r="CM435" s="399"/>
      <c r="CN435" s="399"/>
      <c r="CO435" s="399">
        <v>-1675.4490300000007</v>
      </c>
      <c r="CP435" s="399">
        <v>0</v>
      </c>
      <c r="CQ435" s="399">
        <v>31</v>
      </c>
      <c r="CR435" s="399">
        <v>-14.834301521457519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-7.7366319100078726</v>
      </c>
      <c r="DA435" s="399">
        <v>0</v>
      </c>
      <c r="DB435" s="399">
        <v>0</v>
      </c>
      <c r="DC435" s="399">
        <v>0</v>
      </c>
      <c r="DD435" s="399">
        <v>0</v>
      </c>
      <c r="DE435" s="399">
        <v>0</v>
      </c>
      <c r="DF435" s="399">
        <v>0</v>
      </c>
      <c r="DG435" s="399">
        <v>0</v>
      </c>
      <c r="DH435" s="399">
        <v>0</v>
      </c>
      <c r="DI435" s="399">
        <v>-6.0884474875776107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-0.95963624645111523</v>
      </c>
      <c r="DP435" s="399">
        <v>-4.9585877421127522E-2</v>
      </c>
      <c r="DQ435" s="399">
        <v>0</v>
      </c>
      <c r="DR435" s="399">
        <v>0</v>
      </c>
      <c r="DS435" s="399"/>
      <c r="DT435" s="399"/>
      <c r="DU435" s="399"/>
      <c r="DV435" s="399">
        <v>3843.874483579043</v>
      </c>
      <c r="DW435" s="399">
        <v>0</v>
      </c>
      <c r="DX435" s="399">
        <v>0</v>
      </c>
      <c r="DY435" s="399">
        <v>-1675.4490300000002</v>
      </c>
      <c r="DZ435" s="399">
        <v>0</v>
      </c>
      <c r="EA435" s="399">
        <v>0</v>
      </c>
      <c r="EB435" s="399">
        <v>0</v>
      </c>
      <c r="EC435" s="399">
        <v>-1660.6282870389146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218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956</v>
      </c>
      <c r="C436" s="399" t="s">
        <v>2334</v>
      </c>
      <c r="D436" s="399" t="s">
        <v>533</v>
      </c>
      <c r="E436" s="399" t="s">
        <v>918</v>
      </c>
      <c r="F436" s="399" t="s">
        <v>1239</v>
      </c>
      <c r="G436" s="399" t="s">
        <v>1239</v>
      </c>
      <c r="H436" s="399" t="s">
        <v>1239</v>
      </c>
      <c r="I436" s="399" t="s">
        <v>2326</v>
      </c>
      <c r="J436" s="399" t="s">
        <v>2329</v>
      </c>
      <c r="K436" s="789">
        <v>44682</v>
      </c>
      <c r="L436" s="399">
        <v>0</v>
      </c>
      <c r="M436" s="399">
        <v>0</v>
      </c>
      <c r="N436" s="399">
        <v>34.581000000000003</v>
      </c>
      <c r="O436" s="399">
        <v>34.581000000000003</v>
      </c>
      <c r="P436" s="399">
        <v>34.581000000000003</v>
      </c>
      <c r="Q436" s="399">
        <v>34.581000000000003</v>
      </c>
      <c r="R436" s="399"/>
      <c r="S436" s="399">
        <v>69.680000000000007</v>
      </c>
      <c r="T436" s="399">
        <v>141.32</v>
      </c>
      <c r="U436" s="399"/>
      <c r="V436" s="399">
        <v>7296.5910000000003</v>
      </c>
      <c r="W436" s="399">
        <v>7296.5910000000003</v>
      </c>
      <c r="X436" s="399">
        <v>7176.94074</v>
      </c>
      <c r="Y436" s="399">
        <v>0</v>
      </c>
      <c r="Z436" s="399">
        <v>1825.4973416276389</v>
      </c>
      <c r="AA436" s="399">
        <v>0</v>
      </c>
      <c r="AB436" s="399">
        <v>0</v>
      </c>
      <c r="AC436" s="399">
        <v>0</v>
      </c>
      <c r="AD436" s="399">
        <v>0</v>
      </c>
      <c r="AE436" s="399">
        <v>0</v>
      </c>
      <c r="AF436" s="399">
        <v>4886.9499194361088</v>
      </c>
      <c r="AG436" s="399">
        <v>0</v>
      </c>
      <c r="AH436" s="399">
        <v>0</v>
      </c>
      <c r="AI436" s="399">
        <v>0</v>
      </c>
      <c r="AJ436" s="399">
        <v>0</v>
      </c>
      <c r="AK436" s="399">
        <v>0</v>
      </c>
      <c r="AL436" s="399">
        <v>324.43867741981046</v>
      </c>
      <c r="AM436" s="399"/>
      <c r="AN436" s="399">
        <v>20.7742733643537</v>
      </c>
      <c r="AO436" s="399">
        <v>0</v>
      </c>
      <c r="AP436" s="399">
        <v>0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239.05701529004878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5126.0069347261579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7176.7331999999997</v>
      </c>
      <c r="CJ436" s="399">
        <v>-119.88780000000133</v>
      </c>
      <c r="CK436" s="399"/>
      <c r="CL436" s="399"/>
      <c r="CM436" s="399"/>
      <c r="CN436" s="399"/>
      <c r="CO436" s="399">
        <v>-119.65026000000029</v>
      </c>
      <c r="CP436" s="399">
        <v>0</v>
      </c>
      <c r="CQ436" s="399">
        <v>31</v>
      </c>
      <c r="CR436" s="399">
        <v>-119.90450065146433</v>
      </c>
      <c r="CS436" s="399">
        <v>0</v>
      </c>
      <c r="CT436" s="399">
        <v>0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0</v>
      </c>
      <c r="DA436" s="399">
        <v>0</v>
      </c>
      <c r="DB436" s="399">
        <v>0</v>
      </c>
      <c r="DC436" s="399">
        <v>0</v>
      </c>
      <c r="DD436" s="399">
        <v>0</v>
      </c>
      <c r="DE436" s="399">
        <v>0</v>
      </c>
      <c r="DF436" s="399">
        <v>0</v>
      </c>
      <c r="DG436" s="399">
        <v>0</v>
      </c>
      <c r="DH436" s="399">
        <v>0</v>
      </c>
      <c r="DI436" s="399">
        <v>-102.85520399019106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-16.211617507829033</v>
      </c>
      <c r="DP436" s="399">
        <v>-0.83767915344406774</v>
      </c>
      <c r="DQ436" s="399">
        <v>0</v>
      </c>
      <c r="DR436" s="399">
        <v>0</v>
      </c>
      <c r="DS436" s="399"/>
      <c r="DT436" s="399"/>
      <c r="DU436" s="399"/>
      <c r="DV436" s="399">
        <v>0</v>
      </c>
      <c r="DW436" s="399">
        <v>0</v>
      </c>
      <c r="DX436" s="399">
        <v>0</v>
      </c>
      <c r="DY436" s="399">
        <v>-119.65026000000034</v>
      </c>
      <c r="DZ436" s="399">
        <v>0</v>
      </c>
      <c r="EA436" s="399">
        <v>0</v>
      </c>
      <c r="EB436" s="399">
        <v>0</v>
      </c>
      <c r="EC436" s="399">
        <v>0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0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218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956</v>
      </c>
      <c r="C437" s="399" t="s">
        <v>2334</v>
      </c>
      <c r="D437" s="399" t="s">
        <v>533</v>
      </c>
      <c r="E437" s="399" t="s">
        <v>918</v>
      </c>
      <c r="F437" s="399" t="s">
        <v>1239</v>
      </c>
      <c r="G437" s="399" t="s">
        <v>1239</v>
      </c>
      <c r="H437" s="399" t="s">
        <v>1239</v>
      </c>
      <c r="I437" s="399" t="s">
        <v>1239</v>
      </c>
      <c r="J437" s="399" t="s">
        <v>2329</v>
      </c>
      <c r="K437" s="789">
        <v>44682</v>
      </c>
      <c r="L437" s="399">
        <v>335</v>
      </c>
      <c r="M437" s="399">
        <v>335</v>
      </c>
      <c r="N437" s="399">
        <v>0</v>
      </c>
      <c r="O437" s="399">
        <v>0</v>
      </c>
      <c r="P437" s="399">
        <v>0</v>
      </c>
      <c r="Q437" s="399">
        <v>0</v>
      </c>
      <c r="R437" s="399">
        <v>35.15</v>
      </c>
      <c r="S437" s="399"/>
      <c r="T437" s="399"/>
      <c r="U437" s="399">
        <v>11775.25</v>
      </c>
      <c r="V437" s="399"/>
      <c r="W437" s="399">
        <v>11775.25</v>
      </c>
      <c r="X437" s="399">
        <v>8596.1</v>
      </c>
      <c r="Y437" s="399">
        <v>0</v>
      </c>
      <c r="Z437" s="399">
        <v>0</v>
      </c>
      <c r="AA437" s="399">
        <v>0</v>
      </c>
      <c r="AB437" s="399">
        <v>0</v>
      </c>
      <c r="AC437" s="399">
        <v>0</v>
      </c>
      <c r="AD437" s="399">
        <v>4466.0100529958418</v>
      </c>
      <c r="AE437" s="399">
        <v>7309.0223691299052</v>
      </c>
      <c r="AF437" s="399"/>
      <c r="AG437" s="399"/>
      <c r="AH437" s="399"/>
      <c r="AI437" s="399">
        <v>0</v>
      </c>
      <c r="AJ437" s="399">
        <v>0</v>
      </c>
      <c r="AK437" s="399">
        <v>0</v>
      </c>
      <c r="AL437" s="399">
        <v>0</v>
      </c>
      <c r="AM437" s="399"/>
      <c r="AN437" s="399">
        <v>0</v>
      </c>
      <c r="AO437" s="399">
        <v>0</v>
      </c>
      <c r="AP437" s="399">
        <v>0</v>
      </c>
      <c r="AQ437" s="399">
        <v>0</v>
      </c>
      <c r="AR437" s="399">
        <v>0</v>
      </c>
      <c r="AS437" s="399"/>
      <c r="AT437" s="399"/>
      <c r="AU437" s="399">
        <v>0</v>
      </c>
      <c r="AV437" s="399">
        <v>0</v>
      </c>
      <c r="AW437" s="399">
        <v>0</v>
      </c>
      <c r="AX437" s="399"/>
      <c r="AY437" s="399"/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/>
      <c r="BG437" s="399">
        <v>0</v>
      </c>
      <c r="BH437" s="399">
        <v>0</v>
      </c>
      <c r="BI437" s="399">
        <v>147.01</v>
      </c>
      <c r="BJ437" s="399">
        <v>678.59</v>
      </c>
      <c r="BK437" s="399">
        <v>7442.18</v>
      </c>
      <c r="BL437" s="399">
        <v>3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0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8596.1</v>
      </c>
      <c r="CJ437" s="399">
        <v>-3179.1800000000003</v>
      </c>
      <c r="CK437" s="399"/>
      <c r="CL437" s="399"/>
      <c r="CM437" s="399"/>
      <c r="CN437" s="399"/>
      <c r="CO437" s="399">
        <v>-3179.1499999999996</v>
      </c>
      <c r="CP437" s="399">
        <v>0</v>
      </c>
      <c r="CQ437" s="399">
        <v>31</v>
      </c>
      <c r="CR437" s="399">
        <v>-21.27028015482756</v>
      </c>
      <c r="CS437" s="399">
        <v>0</v>
      </c>
      <c r="CT437" s="399">
        <v>0</v>
      </c>
      <c r="CU437" s="399">
        <v>0</v>
      </c>
      <c r="CV437" s="399">
        <v>0</v>
      </c>
      <c r="CW437" s="399"/>
      <c r="CX437" s="399"/>
      <c r="CY437" s="399"/>
      <c r="CZ437" s="399">
        <v>-21.27028015482756</v>
      </c>
      <c r="DA437" s="399">
        <v>0</v>
      </c>
      <c r="DB437" s="399">
        <v>0</v>
      </c>
      <c r="DC437" s="399"/>
      <c r="DD437" s="399"/>
      <c r="DE437" s="399">
        <v>0</v>
      </c>
      <c r="DF437" s="399">
        <v>0</v>
      </c>
      <c r="DG437" s="399">
        <v>0</v>
      </c>
      <c r="DH437" s="399">
        <v>0</v>
      </c>
      <c r="DI437" s="399">
        <v>0</v>
      </c>
      <c r="DJ437" s="399"/>
      <c r="DK437" s="399">
        <v>0</v>
      </c>
      <c r="DL437" s="399">
        <v>0</v>
      </c>
      <c r="DM437" s="399"/>
      <c r="DN437" s="399">
        <v>0</v>
      </c>
      <c r="DO437" s="399">
        <v>0</v>
      </c>
      <c r="DP437" s="399">
        <v>0</v>
      </c>
      <c r="DQ437" s="399">
        <v>0</v>
      </c>
      <c r="DR437" s="399">
        <v>0</v>
      </c>
      <c r="DS437" s="399"/>
      <c r="DT437" s="399"/>
      <c r="DU437" s="399">
        <v>7309.0223691299052</v>
      </c>
      <c r="DV437" s="399"/>
      <c r="DW437" s="399">
        <v>0</v>
      </c>
      <c r="DX437" s="399">
        <v>0</v>
      </c>
      <c r="DY437" s="399">
        <v>-3179.1499999999996</v>
      </c>
      <c r="DZ437" s="399"/>
      <c r="EA437" s="399">
        <v>0</v>
      </c>
      <c r="EB437" s="399"/>
      <c r="EC437" s="399">
        <v>-3157.6393424469852</v>
      </c>
      <c r="ED437" s="399"/>
      <c r="EE437" s="399">
        <v>0</v>
      </c>
      <c r="EF437" s="399">
        <v>0</v>
      </c>
      <c r="EG437" s="399"/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/>
      <c r="EN437" s="399"/>
      <c r="EO437" s="399">
        <v>0</v>
      </c>
      <c r="EP437" s="399">
        <v>0</v>
      </c>
      <c r="EQ437" s="399"/>
      <c r="ER437" s="399">
        <v>0</v>
      </c>
      <c r="ES437" s="399"/>
      <c r="ET437" s="399">
        <v>0</v>
      </c>
      <c r="EU437" s="399"/>
      <c r="EV437" s="399">
        <v>218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956</v>
      </c>
      <c r="C438" s="399" t="s">
        <v>2328</v>
      </c>
      <c r="D438" s="399" t="s">
        <v>2335</v>
      </c>
      <c r="E438" s="399" t="s">
        <v>894</v>
      </c>
      <c r="F438" s="399" t="s">
        <v>1239</v>
      </c>
      <c r="G438" s="399" t="s">
        <v>1239</v>
      </c>
      <c r="H438" s="399" t="s">
        <v>1239</v>
      </c>
      <c r="I438" s="399" t="s">
        <v>1239</v>
      </c>
      <c r="J438" s="399" t="s">
        <v>2329</v>
      </c>
      <c r="K438" s="789">
        <v>44682</v>
      </c>
      <c r="L438" s="399">
        <v>0</v>
      </c>
      <c r="M438" s="399">
        <v>0</v>
      </c>
      <c r="N438" s="399">
        <v>2531.2399999999998</v>
      </c>
      <c r="O438" s="399">
        <v>2531.2399999999998</v>
      </c>
      <c r="P438" s="399">
        <v>2531.2399999999998</v>
      </c>
      <c r="Q438" s="399">
        <v>2531.2399999999998</v>
      </c>
      <c r="R438" s="399"/>
      <c r="S438" s="399">
        <v>521.86</v>
      </c>
      <c r="T438" s="399">
        <v>141.32</v>
      </c>
      <c r="U438" s="399"/>
      <c r="V438" s="399">
        <v>1678667.7431999999</v>
      </c>
      <c r="W438" s="399">
        <v>1678667.7431999999</v>
      </c>
      <c r="X438" s="399">
        <v>1312017.6291999999</v>
      </c>
      <c r="Y438" s="399">
        <v>0</v>
      </c>
      <c r="Z438" s="399">
        <v>153588.15704130742</v>
      </c>
      <c r="AA438" s="399">
        <v>0</v>
      </c>
      <c r="AB438" s="399">
        <v>0</v>
      </c>
      <c r="AC438" s="399">
        <v>0</v>
      </c>
      <c r="AD438" s="399">
        <v>272244.48633958941</v>
      </c>
      <c r="AE438" s="399">
        <v>822528.44997646508</v>
      </c>
      <c r="AF438" s="399">
        <v>357712.12845416425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23748.074313412595</v>
      </c>
      <c r="AM438" s="399"/>
      <c r="AN438" s="399">
        <v>3510.4924238811568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45321.594041355282</v>
      </c>
      <c r="BH438" s="399">
        <v>0</v>
      </c>
      <c r="BI438" s="399">
        <v>8850.98</v>
      </c>
      <c r="BJ438" s="399">
        <v>40982.76</v>
      </c>
      <c r="BK438" s="399">
        <v>293847.65999999997</v>
      </c>
      <c r="BL438" s="399">
        <v>5523</v>
      </c>
      <c r="BM438" s="399"/>
      <c r="BN438" s="399"/>
      <c r="BO438" s="399"/>
      <c r="BP438" s="399"/>
      <c r="BQ438" s="399"/>
      <c r="BR438" s="399">
        <v>157443.128</v>
      </c>
      <c r="BS438" s="399"/>
      <c r="BT438" s="399"/>
      <c r="BU438" s="399"/>
      <c r="BV438" s="399">
        <v>403033.72249551956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1154574.5011999998</v>
      </c>
      <c r="CJ438" s="399">
        <v>-322631.88039999991</v>
      </c>
      <c r="CK438" s="399"/>
      <c r="CL438" s="399"/>
      <c r="CM438" s="399"/>
      <c r="CN438" s="399"/>
      <c r="CO438" s="399">
        <v>-366650.114</v>
      </c>
      <c r="CP438" s="399">
        <v>0</v>
      </c>
      <c r="CQ438" s="399">
        <v>31</v>
      </c>
      <c r="CR438" s="399">
        <v>-11278.540633256198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-1296.619673117355</v>
      </c>
      <c r="DA438" s="399">
        <v>0</v>
      </c>
      <c r="DB438" s="399">
        <v>0</v>
      </c>
      <c r="DC438" s="399">
        <v>0</v>
      </c>
      <c r="DD438" s="399">
        <v>0</v>
      </c>
      <c r="DE438" s="399">
        <v>0</v>
      </c>
      <c r="DF438" s="399">
        <v>0</v>
      </c>
      <c r="DG438" s="399">
        <v>0</v>
      </c>
      <c r="DH438" s="399">
        <v>0</v>
      </c>
      <c r="DI438" s="399">
        <v>-8653.7191058714816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-1186.6485844977651</v>
      </c>
      <c r="DP438" s="399">
        <v>-141.55326976943024</v>
      </c>
      <c r="DQ438" s="399">
        <v>0</v>
      </c>
      <c r="DR438" s="399">
        <v>0</v>
      </c>
      <c r="DS438" s="399"/>
      <c r="DT438" s="399"/>
      <c r="DU438" s="399"/>
      <c r="DV438" s="399">
        <v>822528.44997646508</v>
      </c>
      <c r="DW438" s="399">
        <v>0</v>
      </c>
      <c r="DX438" s="399">
        <v>0</v>
      </c>
      <c r="DY438" s="399">
        <v>-366650.11400000006</v>
      </c>
      <c r="DZ438" s="399">
        <v>0</v>
      </c>
      <c r="EA438" s="399">
        <v>0</v>
      </c>
      <c r="EB438" s="399">
        <v>0</v>
      </c>
      <c r="EC438" s="399">
        <v>-355348.23438183084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218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2360</v>
      </c>
      <c r="C439" s="399" t="s">
        <v>2328</v>
      </c>
      <c r="D439" s="399" t="s">
        <v>2335</v>
      </c>
      <c r="E439" s="399" t="s">
        <v>894</v>
      </c>
      <c r="F439" s="399" t="s">
        <v>1239</v>
      </c>
      <c r="G439" s="399" t="s">
        <v>1239</v>
      </c>
      <c r="H439" s="399" t="s">
        <v>1239</v>
      </c>
      <c r="I439" s="399" t="s">
        <v>1239</v>
      </c>
      <c r="J439" s="399" t="s">
        <v>2329</v>
      </c>
      <c r="K439" s="789">
        <v>44682</v>
      </c>
      <c r="L439" s="399">
        <v>0</v>
      </c>
      <c r="M439" s="399">
        <v>0</v>
      </c>
      <c r="N439" s="399">
        <v>-4.556</v>
      </c>
      <c r="O439" s="399">
        <v>-4.556</v>
      </c>
      <c r="P439" s="399">
        <v>-4.556</v>
      </c>
      <c r="Q439" s="399">
        <v>-4.556</v>
      </c>
      <c r="R439" s="399"/>
      <c r="S439" s="399">
        <v>521.86</v>
      </c>
      <c r="T439" s="399">
        <v>141.32</v>
      </c>
      <c r="U439" s="399"/>
      <c r="V439" s="399">
        <v>-3021.4480800000001</v>
      </c>
      <c r="W439" s="399">
        <v>-3021.4480800000001</v>
      </c>
      <c r="X439" s="399">
        <v>-2361.5114800000001</v>
      </c>
      <c r="Y439" s="399">
        <v>0</v>
      </c>
      <c r="Z439" s="399">
        <v>-276.44460560049487</v>
      </c>
      <c r="AA439" s="399">
        <v>0</v>
      </c>
      <c r="AB439" s="399">
        <v>0</v>
      </c>
      <c r="AC439" s="399">
        <v>0</v>
      </c>
      <c r="AD439" s="399">
        <v>-490.01512292914521</v>
      </c>
      <c r="AE439" s="399">
        <v>-1480.4758213732302</v>
      </c>
      <c r="AF439" s="399">
        <v>-643.84904522572833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-42.74435714191771</v>
      </c>
      <c r="AM439" s="399"/>
      <c r="AN439" s="399">
        <v>-6.3185646099155166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-81.574715338100958</v>
      </c>
      <c r="BH439" s="399">
        <v>0</v>
      </c>
      <c r="BI439" s="399">
        <v>-18.89</v>
      </c>
      <c r="BJ439" s="399">
        <v>-87.17</v>
      </c>
      <c r="BK439" s="399">
        <v>-904.7</v>
      </c>
      <c r="BL439" s="399">
        <v>0</v>
      </c>
      <c r="BM439" s="399"/>
      <c r="BN439" s="399"/>
      <c r="BO439" s="399"/>
      <c r="BP439" s="399"/>
      <c r="BQ439" s="399"/>
      <c r="BR439" s="399">
        <v>-283.38320000000004</v>
      </c>
      <c r="BS439" s="399"/>
      <c r="BT439" s="399"/>
      <c r="BU439" s="399"/>
      <c r="BV439" s="399">
        <v>-725.42376056382932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-2079.9528</v>
      </c>
      <c r="CJ439" s="399">
        <v>578.85323999999946</v>
      </c>
      <c r="CK439" s="399"/>
      <c r="CL439" s="399"/>
      <c r="CM439" s="399"/>
      <c r="CN439" s="399"/>
      <c r="CO439" s="399">
        <v>659.93660000000011</v>
      </c>
      <c r="CP439" s="399">
        <v>0</v>
      </c>
      <c r="CQ439" s="399">
        <v>31</v>
      </c>
      <c r="CR439" s="399">
        <v>20.300339408793889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2.3337965703461236</v>
      </c>
      <c r="DA439" s="399">
        <v>0</v>
      </c>
      <c r="DB439" s="399">
        <v>0</v>
      </c>
      <c r="DC439" s="399">
        <v>0</v>
      </c>
      <c r="DD439" s="399">
        <v>0</v>
      </c>
      <c r="DE439" s="399">
        <v>0</v>
      </c>
      <c r="DF439" s="399">
        <v>0</v>
      </c>
      <c r="DG439" s="399">
        <v>0</v>
      </c>
      <c r="DH439" s="399">
        <v>0</v>
      </c>
      <c r="DI439" s="399">
        <v>15.575901236686491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2.1358586901960379</v>
      </c>
      <c r="DP439" s="399">
        <v>0.25478291156489519</v>
      </c>
      <c r="DQ439" s="399">
        <v>0</v>
      </c>
      <c r="DR439" s="399">
        <v>0</v>
      </c>
      <c r="DS439" s="399"/>
      <c r="DT439" s="399"/>
      <c r="DU439" s="399"/>
      <c r="DV439" s="399">
        <v>-1480.4758213732302</v>
      </c>
      <c r="DW439" s="399">
        <v>0</v>
      </c>
      <c r="DX439" s="399">
        <v>0</v>
      </c>
      <c r="DY439" s="399">
        <v>659.93660000000023</v>
      </c>
      <c r="DZ439" s="399">
        <v>0</v>
      </c>
      <c r="EA439" s="399">
        <v>0</v>
      </c>
      <c r="EB439" s="399">
        <v>0</v>
      </c>
      <c r="EC439" s="399">
        <v>639.59425255749022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218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2361</v>
      </c>
      <c r="C440" s="399" t="s">
        <v>2328</v>
      </c>
      <c r="D440" s="399" t="s">
        <v>2335</v>
      </c>
      <c r="E440" s="399" t="s">
        <v>894</v>
      </c>
      <c r="F440" s="399" t="s">
        <v>1239</v>
      </c>
      <c r="G440" s="399" t="s">
        <v>1239</v>
      </c>
      <c r="H440" s="399" t="s">
        <v>1239</v>
      </c>
      <c r="I440" s="399" t="s">
        <v>1239</v>
      </c>
      <c r="J440" s="399" t="s">
        <v>2329</v>
      </c>
      <c r="K440" s="789">
        <v>44682</v>
      </c>
      <c r="L440" s="399">
        <v>0</v>
      </c>
      <c r="M440" s="399">
        <v>0</v>
      </c>
      <c r="N440" s="399">
        <v>275.31900000000002</v>
      </c>
      <c r="O440" s="399">
        <v>275.31900000000002</v>
      </c>
      <c r="P440" s="399">
        <v>275.31900000000002</v>
      </c>
      <c r="Q440" s="399">
        <v>275.31900000000002</v>
      </c>
      <c r="R440" s="399"/>
      <c r="S440" s="399">
        <v>521.86</v>
      </c>
      <c r="T440" s="399">
        <v>141.32</v>
      </c>
      <c r="U440" s="399"/>
      <c r="V440" s="399">
        <v>182586.05442000003</v>
      </c>
      <c r="W440" s="399">
        <v>182586.05442000003</v>
      </c>
      <c r="X440" s="399">
        <v>142706.09727000003</v>
      </c>
      <c r="Y440" s="399">
        <v>0</v>
      </c>
      <c r="Z440" s="399">
        <v>16705.542662274507</v>
      </c>
      <c r="AA440" s="399">
        <v>0</v>
      </c>
      <c r="AB440" s="399">
        <v>0</v>
      </c>
      <c r="AC440" s="399">
        <v>0</v>
      </c>
      <c r="AD440" s="399">
        <v>29611.605274304067</v>
      </c>
      <c r="AE440" s="399">
        <v>89465.127889520722</v>
      </c>
      <c r="AF440" s="399">
        <v>38907.786497476358</v>
      </c>
      <c r="AG440" s="399">
        <v>0</v>
      </c>
      <c r="AH440" s="399">
        <v>0</v>
      </c>
      <c r="AI440" s="399">
        <v>0</v>
      </c>
      <c r="AJ440" s="399">
        <v>0</v>
      </c>
      <c r="AK440" s="399">
        <v>0</v>
      </c>
      <c r="AL440" s="399">
        <v>2583.0407515266993</v>
      </c>
      <c r="AM440" s="399"/>
      <c r="AN440" s="399">
        <v>381.83074842786004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4929.5586154896009</v>
      </c>
      <c r="BH440" s="399">
        <v>0</v>
      </c>
      <c r="BI440" s="399">
        <v>1096</v>
      </c>
      <c r="BJ440" s="399">
        <v>5073.34</v>
      </c>
      <c r="BK440" s="399">
        <v>114986.26</v>
      </c>
      <c r="BL440" s="399">
        <v>638</v>
      </c>
      <c r="BM440" s="399"/>
      <c r="BN440" s="399"/>
      <c r="BO440" s="399"/>
      <c r="BP440" s="399"/>
      <c r="BQ440" s="399"/>
      <c r="BR440" s="399">
        <v>17124.841800000002</v>
      </c>
      <c r="BS440" s="399"/>
      <c r="BT440" s="399"/>
      <c r="BU440" s="399"/>
      <c r="BV440" s="399">
        <v>43837.345112965959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125581.71159999998</v>
      </c>
      <c r="CJ440" s="399">
        <v>-35091.733610000025</v>
      </c>
      <c r="CK440" s="399"/>
      <c r="CL440" s="399"/>
      <c r="CM440" s="399"/>
      <c r="CN440" s="399"/>
      <c r="CO440" s="399">
        <v>-39879.957150000009</v>
      </c>
      <c r="CP440" s="399">
        <v>0</v>
      </c>
      <c r="CQ440" s="399">
        <v>31</v>
      </c>
      <c r="CR440" s="399">
        <v>-1226.7491540143965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-141.03128576626841</v>
      </c>
      <c r="DA440" s="399">
        <v>0</v>
      </c>
      <c r="DB440" s="399">
        <v>0</v>
      </c>
      <c r="DC440" s="399">
        <v>0</v>
      </c>
      <c r="DD440" s="399">
        <v>0</v>
      </c>
      <c r="DE440" s="399">
        <v>0</v>
      </c>
      <c r="DF440" s="399">
        <v>0</v>
      </c>
      <c r="DG440" s="399">
        <v>0</v>
      </c>
      <c r="DH440" s="399">
        <v>0</v>
      </c>
      <c r="DI440" s="399">
        <v>-941.25143823162762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-129.06990314444283</v>
      </c>
      <c r="DP440" s="399">
        <v>-15.396526872066602</v>
      </c>
      <c r="DQ440" s="399">
        <v>0</v>
      </c>
      <c r="DR440" s="399">
        <v>0</v>
      </c>
      <c r="DS440" s="399"/>
      <c r="DT440" s="399"/>
      <c r="DU440" s="399"/>
      <c r="DV440" s="399">
        <v>89465.127889520722</v>
      </c>
      <c r="DW440" s="399">
        <v>0</v>
      </c>
      <c r="DX440" s="399">
        <v>0</v>
      </c>
      <c r="DY440" s="399">
        <v>-39879.957150000017</v>
      </c>
      <c r="DZ440" s="399">
        <v>0</v>
      </c>
      <c r="EA440" s="399">
        <v>0</v>
      </c>
      <c r="EB440" s="399">
        <v>0</v>
      </c>
      <c r="EC440" s="399">
        <v>-38650.669451245754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218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2361</v>
      </c>
      <c r="C441" s="399" t="s">
        <v>2328</v>
      </c>
      <c r="D441" s="399" t="s">
        <v>2335</v>
      </c>
      <c r="E441" s="399" t="s">
        <v>894</v>
      </c>
      <c r="F441" s="399" t="s">
        <v>1239</v>
      </c>
      <c r="G441" s="399" t="s">
        <v>1239</v>
      </c>
      <c r="H441" s="399" t="s">
        <v>1239</v>
      </c>
      <c r="I441" s="399" t="s">
        <v>1239</v>
      </c>
      <c r="J441" s="399" t="s">
        <v>2329</v>
      </c>
      <c r="K441" s="789">
        <v>44682</v>
      </c>
      <c r="L441" s="399">
        <v>0</v>
      </c>
      <c r="M441" s="399">
        <v>0</v>
      </c>
      <c r="N441" s="399">
        <v>-0.96399999999999997</v>
      </c>
      <c r="O441" s="399">
        <v>-0.96399999999999997</v>
      </c>
      <c r="P441" s="399">
        <v>-0.96399999999999997</v>
      </c>
      <c r="Q441" s="399">
        <v>-0.96399999999999997</v>
      </c>
      <c r="R441" s="399"/>
      <c r="S441" s="399">
        <v>521.86</v>
      </c>
      <c r="T441" s="399">
        <v>141.32</v>
      </c>
      <c r="U441" s="399"/>
      <c r="V441" s="399">
        <v>-639.30552</v>
      </c>
      <c r="W441" s="399">
        <v>-639.30552</v>
      </c>
      <c r="X441" s="399">
        <v>-499.67012</v>
      </c>
      <c r="Y441" s="399">
        <v>0</v>
      </c>
      <c r="Z441" s="399">
        <v>-58.492668963757033</v>
      </c>
      <c r="AA441" s="399">
        <v>0</v>
      </c>
      <c r="AB441" s="399">
        <v>0</v>
      </c>
      <c r="AC441" s="399">
        <v>0</v>
      </c>
      <c r="AD441" s="399">
        <v>-103.68186534321684</v>
      </c>
      <c r="AE441" s="399">
        <v>-313.25256624315057</v>
      </c>
      <c r="AF441" s="399">
        <v>-136.2314485508345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-9.0442406244092783</v>
      </c>
      <c r="AM441" s="399"/>
      <c r="AN441" s="399">
        <v>-1.3369394828706229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-17.260321682600818</v>
      </c>
      <c r="BH441" s="399">
        <v>0</v>
      </c>
      <c r="BI441" s="399">
        <v>-4.29</v>
      </c>
      <c r="BJ441" s="399">
        <v>-19.82</v>
      </c>
      <c r="BK441" s="399">
        <v>-167.83</v>
      </c>
      <c r="BL441" s="399">
        <v>2</v>
      </c>
      <c r="BM441" s="399"/>
      <c r="BN441" s="399"/>
      <c r="BO441" s="399"/>
      <c r="BP441" s="399"/>
      <c r="BQ441" s="399"/>
      <c r="BR441" s="399">
        <v>-59.960799999999999</v>
      </c>
      <c r="BS441" s="399"/>
      <c r="BT441" s="399"/>
      <c r="BU441" s="399"/>
      <c r="BV441" s="399">
        <v>-153.49177023343532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-437.88479999999998</v>
      </c>
      <c r="CJ441" s="399">
        <v>124.6659600000001</v>
      </c>
      <c r="CK441" s="399"/>
      <c r="CL441" s="399"/>
      <c r="CM441" s="399"/>
      <c r="CN441" s="399"/>
      <c r="CO441" s="399">
        <v>139.6354</v>
      </c>
      <c r="CP441" s="399">
        <v>0</v>
      </c>
      <c r="CQ441" s="399">
        <v>31</v>
      </c>
      <c r="CR441" s="399">
        <v>4.2953308143276558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0.49380594684231482</v>
      </c>
      <c r="DA441" s="399">
        <v>0</v>
      </c>
      <c r="DB441" s="399">
        <v>0</v>
      </c>
      <c r="DC441" s="399">
        <v>0</v>
      </c>
      <c r="DD441" s="399">
        <v>0</v>
      </c>
      <c r="DE441" s="399">
        <v>0</v>
      </c>
      <c r="DF441" s="399">
        <v>0</v>
      </c>
      <c r="DG441" s="399">
        <v>0</v>
      </c>
      <c r="DH441" s="399">
        <v>0</v>
      </c>
      <c r="DI441" s="399">
        <v>3.2956911308528944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0.45192444630135675</v>
      </c>
      <c r="DP441" s="399">
        <v>5.390929033111469E-2</v>
      </c>
      <c r="DQ441" s="399">
        <v>0</v>
      </c>
      <c r="DR441" s="399">
        <v>0</v>
      </c>
      <c r="DS441" s="399"/>
      <c r="DT441" s="399"/>
      <c r="DU441" s="399"/>
      <c r="DV441" s="399">
        <v>-313.25256624315057</v>
      </c>
      <c r="DW441" s="399">
        <v>0</v>
      </c>
      <c r="DX441" s="399">
        <v>0</v>
      </c>
      <c r="DY441" s="399">
        <v>139.6354</v>
      </c>
      <c r="DZ441" s="399">
        <v>0</v>
      </c>
      <c r="EA441" s="399">
        <v>0</v>
      </c>
      <c r="EB441" s="399">
        <v>0</v>
      </c>
      <c r="EC441" s="399">
        <v>135.33118074306861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218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956</v>
      </c>
      <c r="C442" s="399" t="s">
        <v>2334</v>
      </c>
      <c r="D442" s="399" t="s">
        <v>533</v>
      </c>
      <c r="E442" s="399" t="s">
        <v>894</v>
      </c>
      <c r="F442" s="399" t="s">
        <v>1239</v>
      </c>
      <c r="G442" s="399" t="s">
        <v>1239</v>
      </c>
      <c r="H442" s="399" t="s">
        <v>1239</v>
      </c>
      <c r="I442" s="399" t="s">
        <v>893</v>
      </c>
      <c r="J442" s="399" t="s">
        <v>2329</v>
      </c>
      <c r="K442" s="789">
        <v>44682</v>
      </c>
      <c r="L442" s="399">
        <v>0</v>
      </c>
      <c r="M442" s="399">
        <v>0</v>
      </c>
      <c r="N442" s="399">
        <v>2.1120000000000001</v>
      </c>
      <c r="O442" s="399">
        <v>2.02752</v>
      </c>
      <c r="P442" s="399">
        <v>2.1120000000000001</v>
      </c>
      <c r="Q442" s="399">
        <v>2.02752</v>
      </c>
      <c r="R442" s="399"/>
      <c r="S442" s="399">
        <v>2741.05</v>
      </c>
      <c r="T442" s="399">
        <v>141.32</v>
      </c>
      <c r="U442" s="399"/>
      <c r="V442" s="399">
        <v>6087.5654400000012</v>
      </c>
      <c r="W442" s="399">
        <v>6087.5654400000012</v>
      </c>
      <c r="X442" s="399">
        <v>4358.9145600000002</v>
      </c>
      <c r="Y442" s="399">
        <v>0</v>
      </c>
      <c r="Z442" s="399">
        <v>111.49042495930057</v>
      </c>
      <c r="AA442" s="399">
        <v>0</v>
      </c>
      <c r="AB442" s="399">
        <v>0</v>
      </c>
      <c r="AC442" s="399">
        <v>0</v>
      </c>
      <c r="AD442" s="399">
        <v>1676.0018439183655</v>
      </c>
      <c r="AE442" s="399">
        <v>3965.9320514503852</v>
      </c>
      <c r="AF442" s="399">
        <v>298.46558022755448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19.814767841029457</v>
      </c>
      <c r="AM442" s="399"/>
      <c r="AN442" s="399">
        <v>1.2687679750589924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14.600168193302189</v>
      </c>
      <c r="BH442" s="399">
        <v>0</v>
      </c>
      <c r="BI442" s="399">
        <v>0</v>
      </c>
      <c r="BJ442" s="399">
        <v>0</v>
      </c>
      <c r="BK442" s="399">
        <v>0</v>
      </c>
      <c r="BL442" s="399">
        <v>0</v>
      </c>
      <c r="BM442" s="399"/>
      <c r="BN442" s="399"/>
      <c r="BO442" s="399"/>
      <c r="BP442" s="399"/>
      <c r="BQ442" s="399"/>
      <c r="BR442" s="399">
        <v>174.35658240000024</v>
      </c>
      <c r="BS442" s="399"/>
      <c r="BT442" s="399"/>
      <c r="BU442" s="399"/>
      <c r="BV442" s="399">
        <v>313.06574842085666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4189.6763999999994</v>
      </c>
      <c r="CJ442" s="399">
        <v>-1654.4164224000015</v>
      </c>
      <c r="CK442" s="399"/>
      <c r="CL442" s="399"/>
      <c r="CM442" s="399"/>
      <c r="CN442" s="399"/>
      <c r="CO442" s="399">
        <v>-1728.6508800000006</v>
      </c>
      <c r="CP442" s="399">
        <v>0</v>
      </c>
      <c r="CQ442" s="399">
        <v>31</v>
      </c>
      <c r="CR442" s="399">
        <v>-15.305346757850202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-7.9822992642580175</v>
      </c>
      <c r="DA442" s="399">
        <v>0</v>
      </c>
      <c r="DB442" s="399">
        <v>0</v>
      </c>
      <c r="DC442" s="399">
        <v>0</v>
      </c>
      <c r="DD442" s="399">
        <v>0</v>
      </c>
      <c r="DE442" s="399">
        <v>0</v>
      </c>
      <c r="DF442" s="399">
        <v>0</v>
      </c>
      <c r="DG442" s="399">
        <v>0</v>
      </c>
      <c r="DH442" s="399">
        <v>0</v>
      </c>
      <c r="DI442" s="399">
        <v>-6.28177874634288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-0.9901083304859597</v>
      </c>
      <c r="DP442" s="399">
        <v>-5.1160416762785044E-2</v>
      </c>
      <c r="DQ442" s="399">
        <v>0</v>
      </c>
      <c r="DR442" s="399">
        <v>0</v>
      </c>
      <c r="DS442" s="399"/>
      <c r="DT442" s="399"/>
      <c r="DU442" s="399"/>
      <c r="DV442" s="399">
        <v>3965.9320514503852</v>
      </c>
      <c r="DW442" s="399">
        <v>0</v>
      </c>
      <c r="DX442" s="399">
        <v>0</v>
      </c>
      <c r="DY442" s="399">
        <v>-1728.6508800000011</v>
      </c>
      <c r="DZ442" s="399">
        <v>0</v>
      </c>
      <c r="EA442" s="399">
        <v>0</v>
      </c>
      <c r="EB442" s="399">
        <v>0</v>
      </c>
      <c r="EC442" s="399">
        <v>-1713.3595223381471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218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2361</v>
      </c>
      <c r="C443" s="399" t="s">
        <v>2334</v>
      </c>
      <c r="D443" s="399" t="s">
        <v>533</v>
      </c>
      <c r="E443" s="399" t="s">
        <v>894</v>
      </c>
      <c r="F443" s="399" t="s">
        <v>1239</v>
      </c>
      <c r="G443" s="399" t="s">
        <v>1239</v>
      </c>
      <c r="H443" s="399" t="s">
        <v>1239</v>
      </c>
      <c r="I443" s="399" t="s">
        <v>893</v>
      </c>
      <c r="J443" s="399" t="s">
        <v>2329</v>
      </c>
      <c r="K443" s="789">
        <v>44682</v>
      </c>
      <c r="L443" s="399">
        <v>0</v>
      </c>
      <c r="M443" s="399">
        <v>0</v>
      </c>
      <c r="N443" s="399">
        <v>1.974</v>
      </c>
      <c r="O443" s="399">
        <v>1.8950400000000001</v>
      </c>
      <c r="P443" s="399">
        <v>1.974</v>
      </c>
      <c r="Q443" s="399">
        <v>1.8950400000000001</v>
      </c>
      <c r="R443" s="399"/>
      <c r="S443" s="399">
        <v>2741.05</v>
      </c>
      <c r="T443" s="399">
        <v>141.32</v>
      </c>
      <c r="U443" s="399"/>
      <c r="V443" s="399">
        <v>5689.7983800000002</v>
      </c>
      <c r="W443" s="399">
        <v>5689.7983800000002</v>
      </c>
      <c r="X443" s="399">
        <v>4074.0991199999999</v>
      </c>
      <c r="Y443" s="399">
        <v>0</v>
      </c>
      <c r="Z443" s="399">
        <v>104.20553923752809</v>
      </c>
      <c r="AA443" s="399">
        <v>0</v>
      </c>
      <c r="AB443" s="399">
        <v>0</v>
      </c>
      <c r="AC443" s="399">
        <v>0</v>
      </c>
      <c r="AD443" s="399">
        <v>1566.4903597986995</v>
      </c>
      <c r="AE443" s="399">
        <v>3706.7944458158431</v>
      </c>
      <c r="AF443" s="399">
        <v>278.9635678831404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18.520052896871281</v>
      </c>
      <c r="AM443" s="399"/>
      <c r="AN443" s="399">
        <v>1.185865522143206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13.646179930671646</v>
      </c>
      <c r="BH443" s="399">
        <v>0</v>
      </c>
      <c r="BI443" s="399">
        <v>0</v>
      </c>
      <c r="BJ443" s="399">
        <v>0</v>
      </c>
      <c r="BK443" s="399">
        <v>0</v>
      </c>
      <c r="BL443" s="399">
        <v>0</v>
      </c>
      <c r="BM443" s="399"/>
      <c r="BN443" s="399"/>
      <c r="BO443" s="399"/>
      <c r="BP443" s="399"/>
      <c r="BQ443" s="399"/>
      <c r="BR443" s="399">
        <v>162.96396479999981</v>
      </c>
      <c r="BS443" s="399"/>
      <c r="BT443" s="399"/>
      <c r="BU443" s="399"/>
      <c r="BV443" s="399">
        <v>292.60974781381202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3921.3719999999994</v>
      </c>
      <c r="CJ443" s="399">
        <v>-1540.8644448000014</v>
      </c>
      <c r="CK443" s="399"/>
      <c r="CL443" s="399"/>
      <c r="CM443" s="399"/>
      <c r="CN443" s="399"/>
      <c r="CO443" s="399">
        <v>-1615.6992600000005</v>
      </c>
      <c r="CP443" s="399">
        <v>0</v>
      </c>
      <c r="CQ443" s="399">
        <v>31</v>
      </c>
      <c r="CR443" s="399">
        <v>-14.305281486740114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-7.4607285736958602</v>
      </c>
      <c r="DA443" s="399">
        <v>0</v>
      </c>
      <c r="DB443" s="399">
        <v>0</v>
      </c>
      <c r="DC443" s="399">
        <v>0</v>
      </c>
      <c r="DD443" s="399">
        <v>0</v>
      </c>
      <c r="DE443" s="399">
        <v>0</v>
      </c>
      <c r="DF443" s="399">
        <v>0</v>
      </c>
      <c r="DG443" s="399">
        <v>0</v>
      </c>
      <c r="DH443" s="399">
        <v>0</v>
      </c>
      <c r="DI443" s="399">
        <v>-5.8713216123488934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-0.92541375207352417</v>
      </c>
      <c r="DP443" s="399">
        <v>-4.7817548622034911E-2</v>
      </c>
      <c r="DQ443" s="399">
        <v>0</v>
      </c>
      <c r="DR443" s="399">
        <v>0</v>
      </c>
      <c r="DS443" s="399"/>
      <c r="DT443" s="399"/>
      <c r="DU443" s="399"/>
      <c r="DV443" s="399">
        <v>3706.7944458158431</v>
      </c>
      <c r="DW443" s="399">
        <v>0</v>
      </c>
      <c r="DX443" s="399">
        <v>0</v>
      </c>
      <c r="DY443" s="399">
        <v>-1615.6992599999999</v>
      </c>
      <c r="DZ443" s="399">
        <v>0</v>
      </c>
      <c r="EA443" s="399">
        <v>0</v>
      </c>
      <c r="EB443" s="399">
        <v>0</v>
      </c>
      <c r="EC443" s="399">
        <v>-1601.4070535490068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218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956</v>
      </c>
      <c r="C444" s="399" t="s">
        <v>2334</v>
      </c>
      <c r="D444" s="399" t="s">
        <v>533</v>
      </c>
      <c r="E444" s="399" t="s">
        <v>894</v>
      </c>
      <c r="F444" s="399" t="s">
        <v>1239</v>
      </c>
      <c r="G444" s="399" t="s">
        <v>1239</v>
      </c>
      <c r="H444" s="399" t="s">
        <v>1239</v>
      </c>
      <c r="I444" s="399" t="s">
        <v>2326</v>
      </c>
      <c r="J444" s="399" t="s">
        <v>2329</v>
      </c>
      <c r="K444" s="789">
        <v>44682</v>
      </c>
      <c r="L444" s="399">
        <v>0</v>
      </c>
      <c r="M444" s="399">
        <v>0</v>
      </c>
      <c r="N444" s="399">
        <v>21.577000000000002</v>
      </c>
      <c r="O444" s="399">
        <v>20.713920000000002</v>
      </c>
      <c r="P444" s="399">
        <v>21.577000000000002</v>
      </c>
      <c r="Q444" s="399">
        <v>20.713920000000002</v>
      </c>
      <c r="R444" s="399"/>
      <c r="S444" s="399">
        <v>69.680000000000007</v>
      </c>
      <c r="T444" s="399">
        <v>141.32</v>
      </c>
      <c r="U444" s="399"/>
      <c r="V444" s="399">
        <v>4552.7470000000003</v>
      </c>
      <c r="W444" s="399">
        <v>4552.7470000000003</v>
      </c>
      <c r="X444" s="399">
        <v>4478.09058</v>
      </c>
      <c r="Y444" s="399">
        <v>0</v>
      </c>
      <c r="Z444" s="399">
        <v>1139.0288349180059</v>
      </c>
      <c r="AA444" s="399">
        <v>0</v>
      </c>
      <c r="AB444" s="399">
        <v>0</v>
      </c>
      <c r="AC444" s="399">
        <v>0</v>
      </c>
      <c r="AD444" s="399">
        <v>0</v>
      </c>
      <c r="AE444" s="399">
        <v>0</v>
      </c>
      <c r="AF444" s="399">
        <v>3049.2385533001625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202.43524891377493</v>
      </c>
      <c r="AM444" s="399"/>
      <c r="AN444" s="399">
        <v>12.962219033071912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149.16090393318245</v>
      </c>
      <c r="BH444" s="399">
        <v>0</v>
      </c>
      <c r="BI444" s="399">
        <v>0</v>
      </c>
      <c r="BJ444" s="399">
        <v>0</v>
      </c>
      <c r="BK444" s="399">
        <v>0</v>
      </c>
      <c r="BL444" s="399">
        <v>0</v>
      </c>
      <c r="BM444" s="399"/>
      <c r="BN444" s="399"/>
      <c r="BO444" s="399"/>
      <c r="BP444" s="399"/>
      <c r="BQ444" s="399"/>
      <c r="BR444" s="399">
        <v>179.1236232</v>
      </c>
      <c r="BS444" s="399"/>
      <c r="BT444" s="399"/>
      <c r="BU444" s="399"/>
      <c r="BV444" s="399">
        <v>3198.3994572333449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4298.1534000000001</v>
      </c>
      <c r="CJ444" s="399">
        <v>-72.513720000000831</v>
      </c>
      <c r="CK444" s="399"/>
      <c r="CL444" s="399"/>
      <c r="CM444" s="399"/>
      <c r="CN444" s="399"/>
      <c r="CO444" s="399">
        <v>-74.656420000000182</v>
      </c>
      <c r="CP444" s="399">
        <v>0</v>
      </c>
      <c r="CQ444" s="399">
        <v>31</v>
      </c>
      <c r="CR444" s="399">
        <v>-74.815054814974246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0</v>
      </c>
      <c r="DA444" s="399">
        <v>0</v>
      </c>
      <c r="DB444" s="399">
        <v>0</v>
      </c>
      <c r="DC444" s="399">
        <v>0</v>
      </c>
      <c r="DD444" s="399">
        <v>0</v>
      </c>
      <c r="DE444" s="399">
        <v>0</v>
      </c>
      <c r="DF444" s="399">
        <v>0</v>
      </c>
      <c r="DG444" s="399">
        <v>0</v>
      </c>
      <c r="DH444" s="399">
        <v>0</v>
      </c>
      <c r="DI444" s="399">
        <v>-64.177054928901725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-10.115325495689177</v>
      </c>
      <c r="DP444" s="399">
        <v>-0.52267439038381269</v>
      </c>
      <c r="DQ444" s="399">
        <v>0</v>
      </c>
      <c r="DR444" s="399">
        <v>0</v>
      </c>
      <c r="DS444" s="399"/>
      <c r="DT444" s="399"/>
      <c r="DU444" s="399"/>
      <c r="DV444" s="399">
        <v>0</v>
      </c>
      <c r="DW444" s="399">
        <v>0</v>
      </c>
      <c r="DX444" s="399">
        <v>0</v>
      </c>
      <c r="DY444" s="399">
        <v>-74.656420000000253</v>
      </c>
      <c r="DZ444" s="399">
        <v>0</v>
      </c>
      <c r="EA444" s="399">
        <v>0</v>
      </c>
      <c r="EB444" s="399">
        <v>0</v>
      </c>
      <c r="EC444" s="399">
        <v>0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218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2361</v>
      </c>
      <c r="C445" s="399" t="s">
        <v>2334</v>
      </c>
      <c r="D445" s="399" t="s">
        <v>533</v>
      </c>
      <c r="E445" s="399" t="s">
        <v>894</v>
      </c>
      <c r="F445" s="399" t="s">
        <v>1239</v>
      </c>
      <c r="G445" s="399" t="s">
        <v>1239</v>
      </c>
      <c r="H445" s="399" t="s">
        <v>1239</v>
      </c>
      <c r="I445" s="399" t="s">
        <v>2326</v>
      </c>
      <c r="J445" s="399" t="s">
        <v>2329</v>
      </c>
      <c r="K445" s="789">
        <v>44682</v>
      </c>
      <c r="L445" s="399">
        <v>0</v>
      </c>
      <c r="M445" s="399">
        <v>0</v>
      </c>
      <c r="N445" s="399">
        <v>23.762</v>
      </c>
      <c r="O445" s="399">
        <v>22.811520000000002</v>
      </c>
      <c r="P445" s="399">
        <v>23.762</v>
      </c>
      <c r="Q445" s="399">
        <v>22.811520000000002</v>
      </c>
      <c r="R445" s="399"/>
      <c r="S445" s="399">
        <v>69.680000000000007</v>
      </c>
      <c r="T445" s="399">
        <v>141.32</v>
      </c>
      <c r="U445" s="399"/>
      <c r="V445" s="399">
        <v>5013.7820000000002</v>
      </c>
      <c r="W445" s="399">
        <v>5013.7820000000002</v>
      </c>
      <c r="X445" s="399">
        <v>4931.5654799999993</v>
      </c>
      <c r="Y445" s="399">
        <v>0</v>
      </c>
      <c r="Z445" s="399">
        <v>1254.3728588460701</v>
      </c>
      <c r="AA445" s="399">
        <v>0</v>
      </c>
      <c r="AB445" s="399">
        <v>0</v>
      </c>
      <c r="AC445" s="399">
        <v>0</v>
      </c>
      <c r="AD445" s="399">
        <v>0</v>
      </c>
      <c r="AE445" s="399">
        <v>0</v>
      </c>
      <c r="AF445" s="399">
        <v>3358.0204154200519</v>
      </c>
      <c r="AG445" s="399">
        <v>0</v>
      </c>
      <c r="AH445" s="399">
        <v>0</v>
      </c>
      <c r="AI445" s="399">
        <v>0</v>
      </c>
      <c r="AJ445" s="399">
        <v>0</v>
      </c>
      <c r="AK445" s="399">
        <v>0</v>
      </c>
      <c r="AL445" s="399">
        <v>222.93490219627935</v>
      </c>
      <c r="AM445" s="399"/>
      <c r="AN445" s="399">
        <v>14.27484120423853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164.26571809149934</v>
      </c>
      <c r="BH445" s="399">
        <v>0</v>
      </c>
      <c r="BI445" s="399">
        <v>0</v>
      </c>
      <c r="BJ445" s="399">
        <v>0</v>
      </c>
      <c r="BK445" s="399">
        <v>0</v>
      </c>
      <c r="BL445" s="399">
        <v>0</v>
      </c>
      <c r="BM445" s="399"/>
      <c r="BN445" s="399"/>
      <c r="BO445" s="399"/>
      <c r="BP445" s="399"/>
      <c r="BQ445" s="399"/>
      <c r="BR445" s="399">
        <v>197.26261919999979</v>
      </c>
      <c r="BS445" s="399"/>
      <c r="BT445" s="399"/>
      <c r="BU445" s="399"/>
      <c r="BV445" s="399">
        <v>3522.2861335115513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4733.9873999999991</v>
      </c>
      <c r="CJ445" s="399">
        <v>-79.273320000001149</v>
      </c>
      <c r="CK445" s="399"/>
      <c r="CL445" s="399"/>
      <c r="CM445" s="399"/>
      <c r="CN445" s="399"/>
      <c r="CO445" s="399">
        <v>-82.216520000000187</v>
      </c>
      <c r="CP445" s="399">
        <v>0</v>
      </c>
      <c r="CQ445" s="399">
        <v>31</v>
      </c>
      <c r="CR445" s="399">
        <v>-82.391219006971369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0</v>
      </c>
      <c r="DA445" s="399">
        <v>0</v>
      </c>
      <c r="DB445" s="399">
        <v>0</v>
      </c>
      <c r="DC445" s="399">
        <v>0</v>
      </c>
      <c r="DD445" s="399">
        <v>0</v>
      </c>
      <c r="DE445" s="399">
        <v>0</v>
      </c>
      <c r="DF445" s="399">
        <v>0</v>
      </c>
      <c r="DG445" s="399">
        <v>0</v>
      </c>
      <c r="DH445" s="399">
        <v>0</v>
      </c>
      <c r="DI445" s="399">
        <v>-70.675959550473408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-11.139656320552746</v>
      </c>
      <c r="DP445" s="399">
        <v>-0.57560313594569124</v>
      </c>
      <c r="DQ445" s="399">
        <v>0</v>
      </c>
      <c r="DR445" s="399">
        <v>0</v>
      </c>
      <c r="DS445" s="399"/>
      <c r="DT445" s="399"/>
      <c r="DU445" s="399"/>
      <c r="DV445" s="399">
        <v>0</v>
      </c>
      <c r="DW445" s="399">
        <v>0</v>
      </c>
      <c r="DX445" s="399">
        <v>0</v>
      </c>
      <c r="DY445" s="399">
        <v>-82.216520000000173</v>
      </c>
      <c r="DZ445" s="399">
        <v>0</v>
      </c>
      <c r="EA445" s="399">
        <v>0</v>
      </c>
      <c r="EB445" s="399">
        <v>0</v>
      </c>
      <c r="EC445" s="399">
        <v>0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218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956</v>
      </c>
      <c r="C446" s="399" t="s">
        <v>2334</v>
      </c>
      <c r="D446" s="399" t="s">
        <v>533</v>
      </c>
      <c r="E446" s="399" t="s">
        <v>894</v>
      </c>
      <c r="F446" s="399" t="s">
        <v>1239</v>
      </c>
      <c r="G446" s="399" t="s">
        <v>1239</v>
      </c>
      <c r="H446" s="399" t="s">
        <v>1239</v>
      </c>
      <c r="I446" s="399" t="s">
        <v>1239</v>
      </c>
      <c r="J446" s="399" t="s">
        <v>2329</v>
      </c>
      <c r="K446" s="789">
        <v>44682</v>
      </c>
      <c r="L446" s="399">
        <v>90</v>
      </c>
      <c r="M446" s="399">
        <v>86.4</v>
      </c>
      <c r="N446" s="399">
        <v>0</v>
      </c>
      <c r="O446" s="399">
        <v>0</v>
      </c>
      <c r="P446" s="399">
        <v>0</v>
      </c>
      <c r="Q446" s="399">
        <v>0</v>
      </c>
      <c r="R446" s="399">
        <v>35.15</v>
      </c>
      <c r="S446" s="399"/>
      <c r="T446" s="399"/>
      <c r="U446" s="399">
        <v>3163.5</v>
      </c>
      <c r="V446" s="399"/>
      <c r="W446" s="399">
        <v>3163.5</v>
      </c>
      <c r="X446" s="399">
        <v>2309.4</v>
      </c>
      <c r="Y446" s="399">
        <v>0</v>
      </c>
      <c r="Z446" s="399">
        <v>0</v>
      </c>
      <c r="AA446" s="399">
        <v>0</v>
      </c>
      <c r="AB446" s="399">
        <v>0</v>
      </c>
      <c r="AC446" s="399">
        <v>0</v>
      </c>
      <c r="AD446" s="399">
        <v>1199.8235963272409</v>
      </c>
      <c r="AE446" s="399">
        <v>1963.6179499154971</v>
      </c>
      <c r="AF446" s="399"/>
      <c r="AG446" s="399"/>
      <c r="AH446" s="399"/>
      <c r="AI446" s="399">
        <v>0</v>
      </c>
      <c r="AJ446" s="399">
        <v>0</v>
      </c>
      <c r="AK446" s="399">
        <v>0</v>
      </c>
      <c r="AL446" s="399">
        <v>0</v>
      </c>
      <c r="AM446" s="399"/>
      <c r="AN446" s="399">
        <v>0</v>
      </c>
      <c r="AO446" s="399">
        <v>0</v>
      </c>
      <c r="AP446" s="399">
        <v>0</v>
      </c>
      <c r="AQ446" s="399">
        <v>0</v>
      </c>
      <c r="AR446" s="399">
        <v>0</v>
      </c>
      <c r="AS446" s="399"/>
      <c r="AT446" s="399"/>
      <c r="AU446" s="399">
        <v>0</v>
      </c>
      <c r="AV446" s="399">
        <v>0</v>
      </c>
      <c r="AW446" s="399">
        <v>0</v>
      </c>
      <c r="AX446" s="399"/>
      <c r="AY446" s="399"/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/>
      <c r="BG446" s="399">
        <v>0</v>
      </c>
      <c r="BH446" s="399">
        <v>0</v>
      </c>
      <c r="BI446" s="399">
        <v>75.19</v>
      </c>
      <c r="BJ446" s="399">
        <v>347.06</v>
      </c>
      <c r="BK446" s="399">
        <v>3666.32</v>
      </c>
      <c r="BL446" s="399">
        <v>1</v>
      </c>
      <c r="BM446" s="399"/>
      <c r="BN446" s="399"/>
      <c r="BO446" s="399"/>
      <c r="BP446" s="399"/>
      <c r="BQ446" s="399"/>
      <c r="BR446" s="399">
        <v>92.375999999999848</v>
      </c>
      <c r="BS446" s="399"/>
      <c r="BT446" s="399"/>
      <c r="BU446" s="399"/>
      <c r="BV446" s="399">
        <v>0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2217.0240000000003</v>
      </c>
      <c r="CJ446" s="399">
        <v>-819.96600000000035</v>
      </c>
      <c r="CK446" s="399"/>
      <c r="CL446" s="399"/>
      <c r="CM446" s="399"/>
      <c r="CN446" s="399"/>
      <c r="CO446" s="399">
        <v>-854.09999999999991</v>
      </c>
      <c r="CP446" s="399">
        <v>0</v>
      </c>
      <c r="CQ446" s="399">
        <v>31</v>
      </c>
      <c r="CR446" s="399">
        <v>-5.7144036236848024</v>
      </c>
      <c r="CS446" s="399">
        <v>0</v>
      </c>
      <c r="CT446" s="399">
        <v>0</v>
      </c>
      <c r="CU446" s="399">
        <v>0</v>
      </c>
      <c r="CV446" s="399">
        <v>0</v>
      </c>
      <c r="CW446" s="399"/>
      <c r="CX446" s="399"/>
      <c r="CY446" s="399"/>
      <c r="CZ446" s="399">
        <v>-5.7144036236848024</v>
      </c>
      <c r="DA446" s="399">
        <v>0</v>
      </c>
      <c r="DB446" s="399">
        <v>0</v>
      </c>
      <c r="DC446" s="399"/>
      <c r="DD446" s="399"/>
      <c r="DE446" s="399">
        <v>0</v>
      </c>
      <c r="DF446" s="399">
        <v>0</v>
      </c>
      <c r="DG446" s="399">
        <v>0</v>
      </c>
      <c r="DH446" s="399">
        <v>0</v>
      </c>
      <c r="DI446" s="399">
        <v>0</v>
      </c>
      <c r="DJ446" s="399"/>
      <c r="DK446" s="399">
        <v>0</v>
      </c>
      <c r="DL446" s="399">
        <v>0</v>
      </c>
      <c r="DM446" s="399"/>
      <c r="DN446" s="399">
        <v>0</v>
      </c>
      <c r="DO446" s="399">
        <v>0</v>
      </c>
      <c r="DP446" s="399">
        <v>0</v>
      </c>
      <c r="DQ446" s="399">
        <v>0</v>
      </c>
      <c r="DR446" s="399">
        <v>0</v>
      </c>
      <c r="DS446" s="399"/>
      <c r="DT446" s="399"/>
      <c r="DU446" s="399">
        <v>1963.6179499154971</v>
      </c>
      <c r="DV446" s="399"/>
      <c r="DW446" s="399">
        <v>0</v>
      </c>
      <c r="DX446" s="399">
        <v>0</v>
      </c>
      <c r="DY446" s="399">
        <v>-854.09999999999991</v>
      </c>
      <c r="DZ446" s="399"/>
      <c r="EA446" s="399">
        <v>0</v>
      </c>
      <c r="EB446" s="399"/>
      <c r="EC446" s="399">
        <v>-848.32101737381709</v>
      </c>
      <c r="ED446" s="399"/>
      <c r="EE446" s="399">
        <v>0</v>
      </c>
      <c r="EF446" s="399">
        <v>0</v>
      </c>
      <c r="EG446" s="399"/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/>
      <c r="EN446" s="399"/>
      <c r="EO446" s="399">
        <v>0</v>
      </c>
      <c r="EP446" s="399">
        <v>0</v>
      </c>
      <c r="EQ446" s="399"/>
      <c r="ER446" s="399">
        <v>0</v>
      </c>
      <c r="ES446" s="399"/>
      <c r="ET446" s="399">
        <v>0</v>
      </c>
      <c r="EU446" s="399"/>
      <c r="EV446" s="399">
        <v>218</v>
      </c>
      <c r="EW446" s="399"/>
      <c r="EX446" s="399"/>
      <c r="EY446" s="399"/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2361</v>
      </c>
      <c r="C447" s="399" t="s">
        <v>2334</v>
      </c>
      <c r="D447" s="399" t="s">
        <v>533</v>
      </c>
      <c r="E447" s="399" t="s">
        <v>894</v>
      </c>
      <c r="F447" s="399" t="s">
        <v>1239</v>
      </c>
      <c r="G447" s="399" t="s">
        <v>1239</v>
      </c>
      <c r="H447" s="399" t="s">
        <v>1239</v>
      </c>
      <c r="I447" s="399" t="s">
        <v>1239</v>
      </c>
      <c r="J447" s="399" t="s">
        <v>2329</v>
      </c>
      <c r="K447" s="789">
        <v>44682</v>
      </c>
      <c r="L447" s="399">
        <v>250</v>
      </c>
      <c r="M447" s="399">
        <v>240</v>
      </c>
      <c r="N447" s="399">
        <v>0</v>
      </c>
      <c r="O447" s="399">
        <v>0</v>
      </c>
      <c r="P447" s="399">
        <v>0</v>
      </c>
      <c r="Q447" s="399">
        <v>0</v>
      </c>
      <c r="R447" s="399">
        <v>35.15</v>
      </c>
      <c r="S447" s="399"/>
      <c r="T447" s="399"/>
      <c r="U447" s="399">
        <v>8787.5</v>
      </c>
      <c r="V447" s="399"/>
      <c r="W447" s="399">
        <v>8787.5</v>
      </c>
      <c r="X447" s="399">
        <v>6415</v>
      </c>
      <c r="Y447" s="399">
        <v>0</v>
      </c>
      <c r="Z447" s="399">
        <v>0</v>
      </c>
      <c r="AA447" s="399">
        <v>0</v>
      </c>
      <c r="AB447" s="399">
        <v>0</v>
      </c>
      <c r="AC447" s="399">
        <v>0</v>
      </c>
      <c r="AD447" s="399">
        <v>3332.8433231312247</v>
      </c>
      <c r="AE447" s="399">
        <v>5454.4943053208253</v>
      </c>
      <c r="AF447" s="399"/>
      <c r="AG447" s="399"/>
      <c r="AH447" s="399"/>
      <c r="AI447" s="399">
        <v>0</v>
      </c>
      <c r="AJ447" s="399">
        <v>0</v>
      </c>
      <c r="AK447" s="399">
        <v>0</v>
      </c>
      <c r="AL447" s="399">
        <v>0</v>
      </c>
      <c r="AM447" s="399"/>
      <c r="AN447" s="399">
        <v>0</v>
      </c>
      <c r="AO447" s="399">
        <v>0</v>
      </c>
      <c r="AP447" s="399">
        <v>0</v>
      </c>
      <c r="AQ447" s="399">
        <v>0</v>
      </c>
      <c r="AR447" s="399">
        <v>0</v>
      </c>
      <c r="AS447" s="399"/>
      <c r="AT447" s="399"/>
      <c r="AU447" s="399">
        <v>0</v>
      </c>
      <c r="AV447" s="399">
        <v>0</v>
      </c>
      <c r="AW447" s="399">
        <v>0</v>
      </c>
      <c r="AX447" s="399"/>
      <c r="AY447" s="399"/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/>
      <c r="BG447" s="399">
        <v>0</v>
      </c>
      <c r="BH447" s="399">
        <v>0</v>
      </c>
      <c r="BI447" s="399">
        <v>112.04</v>
      </c>
      <c r="BJ447" s="399">
        <v>517.13</v>
      </c>
      <c r="BK447" s="399">
        <v>6301.6</v>
      </c>
      <c r="BL447" s="399">
        <v>2</v>
      </c>
      <c r="BM447" s="399"/>
      <c r="BN447" s="399"/>
      <c r="BO447" s="399"/>
      <c r="BP447" s="399"/>
      <c r="BQ447" s="399"/>
      <c r="BR447" s="399">
        <v>256.60000000000002</v>
      </c>
      <c r="BS447" s="399"/>
      <c r="BT447" s="399"/>
      <c r="BU447" s="399"/>
      <c r="BV447" s="399">
        <v>0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6158.4</v>
      </c>
      <c r="CJ447" s="399">
        <v>-2277.630000000001</v>
      </c>
      <c r="CK447" s="399"/>
      <c r="CL447" s="399"/>
      <c r="CM447" s="399"/>
      <c r="CN447" s="399"/>
      <c r="CO447" s="399">
        <v>-2372.4999999999995</v>
      </c>
      <c r="CP447" s="399">
        <v>0</v>
      </c>
      <c r="CQ447" s="399">
        <v>31</v>
      </c>
      <c r="CR447" s="399">
        <v>-15.873343399124678</v>
      </c>
      <c r="CS447" s="399">
        <v>0</v>
      </c>
      <c r="CT447" s="399">
        <v>0</v>
      </c>
      <c r="CU447" s="399">
        <v>0</v>
      </c>
      <c r="CV447" s="399">
        <v>0</v>
      </c>
      <c r="CW447" s="399"/>
      <c r="CX447" s="399"/>
      <c r="CY447" s="399"/>
      <c r="CZ447" s="399">
        <v>-15.873343399124678</v>
      </c>
      <c r="DA447" s="399">
        <v>0</v>
      </c>
      <c r="DB447" s="399">
        <v>0</v>
      </c>
      <c r="DC447" s="399"/>
      <c r="DD447" s="399"/>
      <c r="DE447" s="399">
        <v>0</v>
      </c>
      <c r="DF447" s="399">
        <v>0</v>
      </c>
      <c r="DG447" s="399">
        <v>0</v>
      </c>
      <c r="DH447" s="399">
        <v>0</v>
      </c>
      <c r="DI447" s="399">
        <v>0</v>
      </c>
      <c r="DJ447" s="399"/>
      <c r="DK447" s="399">
        <v>0</v>
      </c>
      <c r="DL447" s="399">
        <v>0</v>
      </c>
      <c r="DM447" s="399"/>
      <c r="DN447" s="399">
        <v>0</v>
      </c>
      <c r="DO447" s="399">
        <v>0</v>
      </c>
      <c r="DP447" s="399">
        <v>0</v>
      </c>
      <c r="DQ447" s="399">
        <v>0</v>
      </c>
      <c r="DR447" s="399">
        <v>0</v>
      </c>
      <c r="DS447" s="399"/>
      <c r="DT447" s="399"/>
      <c r="DU447" s="399">
        <v>5454.4943053208253</v>
      </c>
      <c r="DV447" s="399"/>
      <c r="DW447" s="399">
        <v>0</v>
      </c>
      <c r="DX447" s="399">
        <v>0</v>
      </c>
      <c r="DY447" s="399">
        <v>-2372.5</v>
      </c>
      <c r="DZ447" s="399"/>
      <c r="EA447" s="399">
        <v>0</v>
      </c>
      <c r="EB447" s="399"/>
      <c r="EC447" s="399">
        <v>-2356.4472704828254</v>
      </c>
      <c r="ED447" s="399"/>
      <c r="EE447" s="399">
        <v>0</v>
      </c>
      <c r="EF447" s="399">
        <v>0</v>
      </c>
      <c r="EG447" s="399"/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/>
      <c r="EN447" s="399"/>
      <c r="EO447" s="399">
        <v>0</v>
      </c>
      <c r="EP447" s="399">
        <v>0</v>
      </c>
      <c r="EQ447" s="399"/>
      <c r="ER447" s="399">
        <v>0</v>
      </c>
      <c r="ES447" s="399"/>
      <c r="ET447" s="399">
        <v>0</v>
      </c>
      <c r="EU447" s="399"/>
      <c r="EV447" s="399">
        <v>218</v>
      </c>
      <c r="EW447" s="399"/>
      <c r="EX447" s="399"/>
      <c r="EY447" s="399"/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956</v>
      </c>
      <c r="C448" s="399" t="s">
        <v>2328</v>
      </c>
      <c r="D448" s="399" t="s">
        <v>1826</v>
      </c>
      <c r="E448" s="399" t="s">
        <v>2336</v>
      </c>
      <c r="F448" s="399" t="s">
        <v>1239</v>
      </c>
      <c r="G448" s="399" t="s">
        <v>1239</v>
      </c>
      <c r="H448" s="399" t="s">
        <v>1239</v>
      </c>
      <c r="I448" s="399" t="s">
        <v>1239</v>
      </c>
      <c r="J448" s="399" t="s">
        <v>2329</v>
      </c>
      <c r="K448" s="789">
        <v>44682</v>
      </c>
      <c r="L448" s="399">
        <v>0</v>
      </c>
      <c r="M448" s="399">
        <v>0</v>
      </c>
      <c r="N448" s="399">
        <v>115.01900000000001</v>
      </c>
      <c r="O448" s="399">
        <v>115.01900000000001</v>
      </c>
      <c r="P448" s="399">
        <v>115.01900000000001</v>
      </c>
      <c r="Q448" s="399">
        <v>115.01900000000001</v>
      </c>
      <c r="R448" s="399"/>
      <c r="S448" s="399">
        <v>521.86</v>
      </c>
      <c r="T448" s="399">
        <v>141.32</v>
      </c>
      <c r="U448" s="399"/>
      <c r="V448" s="399">
        <v>76278.30042</v>
      </c>
      <c r="W448" s="399">
        <v>76278.30042</v>
      </c>
      <c r="X448" s="399">
        <v>59617.798269999999</v>
      </c>
      <c r="Y448" s="399">
        <v>0</v>
      </c>
      <c r="Z448" s="399">
        <v>6979.012750562626</v>
      </c>
      <c r="AA448" s="399">
        <v>0</v>
      </c>
      <c r="AB448" s="399">
        <v>0</v>
      </c>
      <c r="AC448" s="399">
        <v>0</v>
      </c>
      <c r="AD448" s="399">
        <v>12370.730777916451</v>
      </c>
      <c r="AE448" s="399">
        <v>37375.515473776904</v>
      </c>
      <c r="AF448" s="399">
        <v>16254.362013349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1079.1073779864428</v>
      </c>
      <c r="AM448" s="399"/>
      <c r="AN448" s="399">
        <v>159.51601906669728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2059.4034643268296</v>
      </c>
      <c r="BH448" s="399">
        <v>0</v>
      </c>
      <c r="BI448" s="399">
        <v>414.71</v>
      </c>
      <c r="BJ448" s="399">
        <v>1917.43</v>
      </c>
      <c r="BK448" s="399">
        <v>17745.560000000001</v>
      </c>
      <c r="BL448" s="399">
        <v>158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>
        <v>18313.765477675828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59618.316599999998</v>
      </c>
      <c r="CJ448" s="399">
        <v>-16660.01382</v>
      </c>
      <c r="CK448" s="399"/>
      <c r="CL448" s="399"/>
      <c r="CM448" s="399"/>
      <c r="CN448" s="399"/>
      <c r="CO448" s="399">
        <v>-16660.502150000004</v>
      </c>
      <c r="CP448" s="399">
        <v>0</v>
      </c>
      <c r="CQ448" s="399">
        <v>31</v>
      </c>
      <c r="CR448" s="399">
        <v>-512.49445532486425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-58.918118464582221</v>
      </c>
      <c r="DA448" s="399">
        <v>0</v>
      </c>
      <c r="DB448" s="399">
        <v>0</v>
      </c>
      <c r="DC448" s="399">
        <v>0</v>
      </c>
      <c r="DD448" s="399">
        <v>0</v>
      </c>
      <c r="DE448" s="399">
        <v>0</v>
      </c>
      <c r="DF448" s="399">
        <v>0</v>
      </c>
      <c r="DG448" s="399">
        <v>0</v>
      </c>
      <c r="DH448" s="399">
        <v>0</v>
      </c>
      <c r="DI448" s="399">
        <v>-393.22313089166983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-53.921055901593036</v>
      </c>
      <c r="DP448" s="399">
        <v>-6.4321500670067167</v>
      </c>
      <c r="DQ448" s="399">
        <v>0</v>
      </c>
      <c r="DR448" s="399">
        <v>0</v>
      </c>
      <c r="DS448" s="399"/>
      <c r="DT448" s="399"/>
      <c r="DU448" s="399"/>
      <c r="DV448" s="399">
        <v>37375.515473776904</v>
      </c>
      <c r="DW448" s="399">
        <v>0</v>
      </c>
      <c r="DX448" s="399">
        <v>0</v>
      </c>
      <c r="DY448" s="399">
        <v>-16660.50215</v>
      </c>
      <c r="DZ448" s="399">
        <v>0</v>
      </c>
      <c r="EA448" s="399">
        <v>0</v>
      </c>
      <c r="EB448" s="399">
        <v>0</v>
      </c>
      <c r="EC448" s="399">
        <v>-16146.947176231337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218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956</v>
      </c>
      <c r="C449" s="399" t="s">
        <v>2328</v>
      </c>
      <c r="D449" s="399" t="s">
        <v>2337</v>
      </c>
      <c r="E449" s="399" t="s">
        <v>2338</v>
      </c>
      <c r="F449" s="399" t="s">
        <v>2339</v>
      </c>
      <c r="G449" s="399" t="s">
        <v>1239</v>
      </c>
      <c r="H449" s="399" t="s">
        <v>1239</v>
      </c>
      <c r="I449" s="399" t="s">
        <v>1239</v>
      </c>
      <c r="J449" s="399" t="s">
        <v>2329</v>
      </c>
      <c r="K449" s="789">
        <v>44682</v>
      </c>
      <c r="L449" s="399">
        <v>0</v>
      </c>
      <c r="M449" s="399">
        <v>0</v>
      </c>
      <c r="N449" s="399">
        <v>78.97</v>
      </c>
      <c r="O449" s="399">
        <v>78.97</v>
      </c>
      <c r="P449" s="399">
        <v>78.97</v>
      </c>
      <c r="Q449" s="399">
        <v>78.97</v>
      </c>
      <c r="R449" s="399"/>
      <c r="S449" s="399">
        <v>287.02</v>
      </c>
      <c r="T449" s="399">
        <v>77.73</v>
      </c>
      <c r="U449" s="399"/>
      <c r="V449" s="399">
        <v>28804.307499999999</v>
      </c>
      <c r="W449" s="399">
        <v>28804.307499999999</v>
      </c>
      <c r="X449" s="399">
        <v>22513.5573</v>
      </c>
      <c r="Y449" s="399">
        <v>0</v>
      </c>
      <c r="Z449" s="399">
        <v>2635.416325142467</v>
      </c>
      <c r="AA449" s="399">
        <v>0</v>
      </c>
      <c r="AB449" s="399">
        <v>0</v>
      </c>
      <c r="AC449" s="399">
        <v>0</v>
      </c>
      <c r="AD449" s="399">
        <v>4671.4380688637184</v>
      </c>
      <c r="AE449" s="399">
        <v>14113.750348466681</v>
      </c>
      <c r="AF449" s="399">
        <v>6137.9757475442721</v>
      </c>
      <c r="AG449" s="399">
        <v>0</v>
      </c>
      <c r="AH449" s="399">
        <v>0</v>
      </c>
      <c r="AI449" s="399">
        <v>0</v>
      </c>
      <c r="AJ449" s="399">
        <v>0</v>
      </c>
      <c r="AK449" s="399">
        <v>0</v>
      </c>
      <c r="AL449" s="399">
        <v>407.49276468908795</v>
      </c>
      <c r="AM449" s="399"/>
      <c r="AN449" s="399">
        <v>60.236474096744182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777.67238776062391</v>
      </c>
      <c r="BH449" s="399">
        <v>0</v>
      </c>
      <c r="BI449" s="399">
        <v>151.84</v>
      </c>
      <c r="BJ449" s="399">
        <v>700.99</v>
      </c>
      <c r="BK449" s="399">
        <v>7788.78</v>
      </c>
      <c r="BL449" s="399">
        <v>7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6915.6481353048957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22513.5573</v>
      </c>
      <c r="CJ449" s="399">
        <v>-6290.7801999999938</v>
      </c>
      <c r="CK449" s="399"/>
      <c r="CL449" s="399"/>
      <c r="CM449" s="399"/>
      <c r="CN449" s="399"/>
      <c r="CO449" s="399">
        <v>-6290.7501999999977</v>
      </c>
      <c r="CP449" s="399">
        <v>0</v>
      </c>
      <c r="CQ449" s="399">
        <v>31</v>
      </c>
      <c r="CR449" s="399">
        <v>-193.52826859347806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-22.248672813477242</v>
      </c>
      <c r="DA449" s="399">
        <v>0</v>
      </c>
      <c r="DB449" s="399">
        <v>0</v>
      </c>
      <c r="DC449" s="399">
        <v>0</v>
      </c>
      <c r="DD449" s="399">
        <v>0</v>
      </c>
      <c r="DE449" s="399">
        <v>0</v>
      </c>
      <c r="DF449" s="399">
        <v>0</v>
      </c>
      <c r="DG449" s="399">
        <v>0</v>
      </c>
      <c r="DH449" s="399">
        <v>0</v>
      </c>
      <c r="DI449" s="399">
        <v>-148.48900490860615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-20.361680952728818</v>
      </c>
      <c r="DP449" s="399">
        <v>-2.4289099186688503</v>
      </c>
      <c r="DQ449" s="399">
        <v>0</v>
      </c>
      <c r="DR449" s="399">
        <v>0</v>
      </c>
      <c r="DS449" s="399"/>
      <c r="DT449" s="399"/>
      <c r="DU449" s="399"/>
      <c r="DV449" s="399">
        <v>14113.750348466681</v>
      </c>
      <c r="DW449" s="399">
        <v>0</v>
      </c>
      <c r="DX449" s="399">
        <v>0</v>
      </c>
      <c r="DY449" s="399">
        <v>-6290.7501999999968</v>
      </c>
      <c r="DZ449" s="399">
        <v>0</v>
      </c>
      <c r="EA449" s="399">
        <v>0</v>
      </c>
      <c r="EB449" s="399">
        <v>0</v>
      </c>
      <c r="EC449" s="399">
        <v>-6097.4137331992679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218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956</v>
      </c>
      <c r="C450" s="399" t="s">
        <v>2328</v>
      </c>
      <c r="D450" s="399" t="s">
        <v>1826</v>
      </c>
      <c r="E450" s="399" t="s">
        <v>921</v>
      </c>
      <c r="F450" s="399" t="s">
        <v>2362</v>
      </c>
      <c r="G450" s="399" t="s">
        <v>1239</v>
      </c>
      <c r="H450" s="399" t="s">
        <v>1239</v>
      </c>
      <c r="I450" s="399" t="s">
        <v>1239</v>
      </c>
      <c r="J450" s="399" t="s">
        <v>2329</v>
      </c>
      <c r="K450" s="789">
        <v>44682</v>
      </c>
      <c r="L450" s="399">
        <v>0</v>
      </c>
      <c r="M450" s="399">
        <v>0</v>
      </c>
      <c r="N450" s="399">
        <v>43.161999999999999</v>
      </c>
      <c r="O450" s="399">
        <v>40.572279999999999</v>
      </c>
      <c r="P450" s="399">
        <v>43.161999999999999</v>
      </c>
      <c r="Q450" s="399">
        <v>40.572279999999999</v>
      </c>
      <c r="R450" s="399"/>
      <c r="S450" s="399">
        <v>521.86</v>
      </c>
      <c r="T450" s="399">
        <v>141.32</v>
      </c>
      <c r="U450" s="399"/>
      <c r="V450" s="399">
        <v>28624.175159999999</v>
      </c>
      <c r="W450" s="399">
        <v>28624.175159999999</v>
      </c>
      <c r="X450" s="399">
        <v>22372.159459999999</v>
      </c>
      <c r="Y450" s="399">
        <v>0</v>
      </c>
      <c r="Z450" s="399">
        <v>2618.9425081054783</v>
      </c>
      <c r="AA450" s="399">
        <v>0</v>
      </c>
      <c r="AB450" s="399">
        <v>0</v>
      </c>
      <c r="AC450" s="399">
        <v>0</v>
      </c>
      <c r="AD450" s="399">
        <v>4642.2372115600892</v>
      </c>
      <c r="AE450" s="399">
        <v>14025.526207662722</v>
      </c>
      <c r="AF450" s="399">
        <v>6099.6076580405797</v>
      </c>
      <c r="AG450" s="399">
        <v>0</v>
      </c>
      <c r="AH450" s="399">
        <v>0</v>
      </c>
      <c r="AI450" s="399">
        <v>0</v>
      </c>
      <c r="AJ450" s="399">
        <v>0</v>
      </c>
      <c r="AK450" s="399">
        <v>0</v>
      </c>
      <c r="AL450" s="399">
        <v>404.94555376634156</v>
      </c>
      <c r="AM450" s="399"/>
      <c r="AN450" s="399">
        <v>59.85993979218032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772.81120795063953</v>
      </c>
      <c r="BH450" s="399">
        <v>0</v>
      </c>
      <c r="BI450" s="399">
        <v>158.01</v>
      </c>
      <c r="BJ450" s="399">
        <v>729.73</v>
      </c>
      <c r="BK450" s="399">
        <v>8108.11</v>
      </c>
      <c r="BL450" s="399">
        <v>20</v>
      </c>
      <c r="BM450" s="399"/>
      <c r="BN450" s="399"/>
      <c r="BO450" s="399"/>
      <c r="BP450" s="399"/>
      <c r="BQ450" s="399">
        <v>1342.3295675999998</v>
      </c>
      <c r="BR450" s="399"/>
      <c r="BS450" s="399"/>
      <c r="BT450" s="399"/>
      <c r="BU450" s="399"/>
      <c r="BV450" s="399">
        <v>6872.4188659912197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21028.648099999999</v>
      </c>
      <c r="CJ450" s="399">
        <v>-5878.1065503999962</v>
      </c>
      <c r="CK450" s="399"/>
      <c r="CL450" s="399"/>
      <c r="CM450" s="399"/>
      <c r="CN450" s="399"/>
      <c r="CO450" s="399">
        <v>-6252.0157000000008</v>
      </c>
      <c r="CP450" s="399">
        <v>0</v>
      </c>
      <c r="CQ450" s="399">
        <v>31</v>
      </c>
      <c r="CR450" s="399">
        <v>-192.31853590042738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-22.109597798349569</v>
      </c>
      <c r="DA450" s="399">
        <v>0</v>
      </c>
      <c r="DB450" s="399">
        <v>0</v>
      </c>
      <c r="DC450" s="399">
        <v>0</v>
      </c>
      <c r="DD450" s="399">
        <v>0</v>
      </c>
      <c r="DE450" s="399">
        <v>0</v>
      </c>
      <c r="DF450" s="399">
        <v>0</v>
      </c>
      <c r="DG450" s="399">
        <v>0</v>
      </c>
      <c r="DH450" s="399">
        <v>0</v>
      </c>
      <c r="DI450" s="399">
        <v>-147.56080974053202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-20.234401401721072</v>
      </c>
      <c r="DP450" s="399">
        <v>-2.41372695982529</v>
      </c>
      <c r="DQ450" s="399">
        <v>0</v>
      </c>
      <c r="DR450" s="399">
        <v>0</v>
      </c>
      <c r="DS450" s="399"/>
      <c r="DT450" s="399"/>
      <c r="DU450" s="399"/>
      <c r="DV450" s="399">
        <v>14025.526207662722</v>
      </c>
      <c r="DW450" s="399">
        <v>0</v>
      </c>
      <c r="DX450" s="399">
        <v>0</v>
      </c>
      <c r="DY450" s="399">
        <v>-6252.0156999999999</v>
      </c>
      <c r="DZ450" s="399">
        <v>0</v>
      </c>
      <c r="EA450" s="399">
        <v>0</v>
      </c>
      <c r="EB450" s="399">
        <v>0</v>
      </c>
      <c r="EC450" s="399">
        <v>-6059.2991942244062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218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956</v>
      </c>
      <c r="C451" s="399" t="s">
        <v>2398</v>
      </c>
      <c r="D451" s="399" t="s">
        <v>533</v>
      </c>
      <c r="E451" s="399" t="s">
        <v>921</v>
      </c>
      <c r="F451" s="399" t="s">
        <v>2362</v>
      </c>
      <c r="G451" s="399" t="s">
        <v>1239</v>
      </c>
      <c r="H451" s="399" t="s">
        <v>1239</v>
      </c>
      <c r="I451" s="399" t="s">
        <v>893</v>
      </c>
      <c r="J451" s="399" t="s">
        <v>2329</v>
      </c>
      <c r="K451" s="789">
        <v>44682</v>
      </c>
      <c r="L451" s="399">
        <v>485</v>
      </c>
      <c r="M451" s="399">
        <v>455.9</v>
      </c>
      <c r="N451" s="399">
        <v>26.413</v>
      </c>
      <c r="O451" s="399">
        <v>24.828220000000002</v>
      </c>
      <c r="P451" s="399">
        <v>26.413</v>
      </c>
      <c r="Q451" s="399">
        <v>24.828220000000002</v>
      </c>
      <c r="R451" s="399">
        <v>111.06</v>
      </c>
      <c r="S451" s="399">
        <v>69.680000000000007</v>
      </c>
      <c r="T451" s="399">
        <v>141.32</v>
      </c>
      <c r="U451" s="399">
        <v>53864.1</v>
      </c>
      <c r="V451" s="399">
        <v>5573.143</v>
      </c>
      <c r="W451" s="399">
        <v>59437.243000000002</v>
      </c>
      <c r="X451" s="399">
        <v>42909.204020000005</v>
      </c>
      <c r="Y451" s="399">
        <v>0</v>
      </c>
      <c r="Z451" s="399">
        <v>1394.3165693418589</v>
      </c>
      <c r="AA451" s="399">
        <v>0</v>
      </c>
      <c r="AB451" s="399">
        <v>0</v>
      </c>
      <c r="AC451" s="399">
        <v>0</v>
      </c>
      <c r="AD451" s="399">
        <v>15996.833565630635</v>
      </c>
      <c r="AE451" s="399">
        <v>37868.438917061707</v>
      </c>
      <c r="AF451" s="399">
        <v>3732.6568989348466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247.80656391340486</v>
      </c>
      <c r="AM451" s="399"/>
      <c r="AN451" s="399">
        <v>15.867409339599037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182.59197087580051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>
        <v>2574.5522412000014</v>
      </c>
      <c r="BR451" s="399"/>
      <c r="BS451" s="399"/>
      <c r="BT451" s="399"/>
      <c r="BU451" s="399"/>
      <c r="BV451" s="399">
        <v>3915.2488698106472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40335.021199999996</v>
      </c>
      <c r="CJ451" s="399">
        <v>-15536.017220000009</v>
      </c>
      <c r="CK451" s="399"/>
      <c r="CL451" s="399"/>
      <c r="CM451" s="399"/>
      <c r="CN451" s="399"/>
      <c r="CO451" s="399">
        <v>-16528.038980000001</v>
      </c>
      <c r="CP451" s="399">
        <v>0</v>
      </c>
      <c r="CQ451" s="399">
        <v>31</v>
      </c>
      <c r="CR451" s="399">
        <v>-167.77133888631943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-76.188169639995976</v>
      </c>
      <c r="DA451" s="399">
        <v>0</v>
      </c>
      <c r="DB451" s="399">
        <v>0</v>
      </c>
      <c r="DC451" s="399">
        <v>0</v>
      </c>
      <c r="DD451" s="399">
        <v>0</v>
      </c>
      <c r="DE451" s="399">
        <v>0</v>
      </c>
      <c r="DF451" s="399">
        <v>0</v>
      </c>
      <c r="DG451" s="399">
        <v>0</v>
      </c>
      <c r="DH451" s="399">
        <v>0</v>
      </c>
      <c r="DI451" s="399">
        <v>-78.56090058103905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-12.382448547881467</v>
      </c>
      <c r="DP451" s="399">
        <v>-0.63982011740314526</v>
      </c>
      <c r="DQ451" s="399">
        <v>0</v>
      </c>
      <c r="DR451" s="399">
        <v>0</v>
      </c>
      <c r="DS451" s="399"/>
      <c r="DT451" s="399"/>
      <c r="DU451" s="399">
        <v>37868.438917061707</v>
      </c>
      <c r="DV451" s="399">
        <v>0</v>
      </c>
      <c r="DW451" s="399">
        <v>0</v>
      </c>
      <c r="DX451" s="399">
        <v>0</v>
      </c>
      <c r="DY451" s="399">
        <v>-16528.038979999998</v>
      </c>
      <c r="DZ451" s="399">
        <v>0</v>
      </c>
      <c r="EA451" s="399">
        <v>0</v>
      </c>
      <c r="EB451" s="399">
        <v>0</v>
      </c>
      <c r="EC451" s="399">
        <v>-16359.899658618597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218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956</v>
      </c>
      <c r="C452" s="399" t="s">
        <v>2398</v>
      </c>
      <c r="D452" s="399" t="s">
        <v>533</v>
      </c>
      <c r="E452" s="399" t="s">
        <v>921</v>
      </c>
      <c r="F452" s="399" t="s">
        <v>2362</v>
      </c>
      <c r="G452" s="399" t="s">
        <v>1239</v>
      </c>
      <c r="H452" s="399" t="s">
        <v>1239</v>
      </c>
      <c r="I452" s="399" t="s">
        <v>2326</v>
      </c>
      <c r="J452" s="399" t="s">
        <v>2329</v>
      </c>
      <c r="K452" s="789">
        <v>44682</v>
      </c>
      <c r="L452" s="399">
        <v>485</v>
      </c>
      <c r="M452" s="399">
        <v>455.9</v>
      </c>
      <c r="N452" s="399">
        <v>242.363</v>
      </c>
      <c r="O452" s="399">
        <v>227.82122000000001</v>
      </c>
      <c r="P452" s="399">
        <v>242.363</v>
      </c>
      <c r="Q452" s="399">
        <v>227.82122000000001</v>
      </c>
      <c r="R452" s="399">
        <v>35.15</v>
      </c>
      <c r="S452" s="399">
        <v>69.680000000000007</v>
      </c>
      <c r="T452" s="399">
        <v>141.32</v>
      </c>
      <c r="U452" s="399">
        <v>17047.75</v>
      </c>
      <c r="V452" s="399">
        <v>51138.593000000001</v>
      </c>
      <c r="W452" s="399">
        <v>68186.342999999993</v>
      </c>
      <c r="X452" s="399">
        <v>62745.117019999998</v>
      </c>
      <c r="Y452" s="399">
        <v>0</v>
      </c>
      <c r="Z452" s="399">
        <v>12794.106943376404</v>
      </c>
      <c r="AA452" s="399">
        <v>0</v>
      </c>
      <c r="AB452" s="399">
        <v>0</v>
      </c>
      <c r="AC452" s="399">
        <v>0</v>
      </c>
      <c r="AD452" s="399">
        <v>6465.716046874576</v>
      </c>
      <c r="AE452" s="399">
        <v>10581.718952322401</v>
      </c>
      <c r="AF452" s="399">
        <v>34250.479839342224</v>
      </c>
      <c r="AG452" s="399">
        <v>0</v>
      </c>
      <c r="AH452" s="399">
        <v>0</v>
      </c>
      <c r="AI452" s="399">
        <v>0</v>
      </c>
      <c r="AJ452" s="399">
        <v>0</v>
      </c>
      <c r="AK452" s="399">
        <v>0</v>
      </c>
      <c r="AL452" s="399">
        <v>2273.8478116739689</v>
      </c>
      <c r="AM452" s="399"/>
      <c r="AN452" s="399">
        <v>145.59773330455613</v>
      </c>
      <c r="AO452" s="399">
        <v>0</v>
      </c>
      <c r="AP452" s="399">
        <v>0</v>
      </c>
      <c r="AQ452" s="399">
        <v>0</v>
      </c>
      <c r="AR452" s="399">
        <v>0</v>
      </c>
      <c r="AS452" s="399">
        <v>0</v>
      </c>
      <c r="AT452" s="399">
        <v>0</v>
      </c>
      <c r="AU452" s="399">
        <v>0</v>
      </c>
      <c r="AV452" s="399">
        <v>0</v>
      </c>
      <c r="AW452" s="399">
        <v>0</v>
      </c>
      <c r="AX452" s="399">
        <v>0</v>
      </c>
      <c r="AY452" s="399">
        <v>0</v>
      </c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>
        <v>0</v>
      </c>
      <c r="BG452" s="399">
        <v>1675.4453427240994</v>
      </c>
      <c r="BH452" s="399">
        <v>0</v>
      </c>
      <c r="BI452" s="399">
        <v>0</v>
      </c>
      <c r="BJ452" s="399">
        <v>0</v>
      </c>
      <c r="BK452" s="399">
        <v>0</v>
      </c>
      <c r="BL452" s="399">
        <v>0</v>
      </c>
      <c r="BM452" s="399"/>
      <c r="BN452" s="399"/>
      <c r="BO452" s="399"/>
      <c r="BP452" s="399"/>
      <c r="BQ452" s="399">
        <v>3764.7070211999981</v>
      </c>
      <c r="BR452" s="399"/>
      <c r="BS452" s="399"/>
      <c r="BT452" s="399"/>
      <c r="BU452" s="399"/>
      <c r="BV452" s="399">
        <v>35925.925182066327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58980.156799999997</v>
      </c>
      <c r="CJ452" s="399">
        <v>-5115.0356200000024</v>
      </c>
      <c r="CK452" s="399"/>
      <c r="CL452" s="399"/>
      <c r="CM452" s="399"/>
      <c r="CN452" s="399"/>
      <c r="CO452" s="399">
        <v>-5441.2259800000011</v>
      </c>
      <c r="CP452" s="399">
        <v>0</v>
      </c>
      <c r="CQ452" s="399">
        <v>31</v>
      </c>
      <c r="CR452" s="399">
        <v>-871.15212695630908</v>
      </c>
      <c r="CS452" s="399">
        <v>0</v>
      </c>
      <c r="CT452" s="399">
        <v>0</v>
      </c>
      <c r="CU452" s="399">
        <v>0</v>
      </c>
      <c r="CV452" s="399">
        <v>0</v>
      </c>
      <c r="CW452" s="399">
        <v>0</v>
      </c>
      <c r="CX452" s="399">
        <v>0</v>
      </c>
      <c r="CY452" s="399">
        <v>0</v>
      </c>
      <c r="CZ452" s="399">
        <v>-30.794286194302003</v>
      </c>
      <c r="DA452" s="399">
        <v>0</v>
      </c>
      <c r="DB452" s="399">
        <v>0</v>
      </c>
      <c r="DC452" s="399">
        <v>0</v>
      </c>
      <c r="DD452" s="399">
        <v>0</v>
      </c>
      <c r="DE452" s="399">
        <v>0</v>
      </c>
      <c r="DF452" s="399">
        <v>0</v>
      </c>
      <c r="DG452" s="399">
        <v>0</v>
      </c>
      <c r="DH452" s="399">
        <v>0</v>
      </c>
      <c r="DI452" s="399">
        <v>-720.86682874048347</v>
      </c>
      <c r="DJ452" s="399"/>
      <c r="DK452" s="399">
        <v>0</v>
      </c>
      <c r="DL452" s="399">
        <v>0</v>
      </c>
      <c r="DM452" s="399">
        <v>0</v>
      </c>
      <c r="DN452" s="399">
        <v>0</v>
      </c>
      <c r="DO452" s="399">
        <v>-113.62008773748494</v>
      </c>
      <c r="DP452" s="399">
        <v>-5.8709242840335492</v>
      </c>
      <c r="DQ452" s="399">
        <v>0</v>
      </c>
      <c r="DR452" s="399">
        <v>0</v>
      </c>
      <c r="DS452" s="399"/>
      <c r="DT452" s="399"/>
      <c r="DU452" s="399">
        <v>10581.718952322401</v>
      </c>
      <c r="DV452" s="399">
        <v>0</v>
      </c>
      <c r="DW452" s="399">
        <v>0</v>
      </c>
      <c r="DX452" s="399">
        <v>0</v>
      </c>
      <c r="DY452" s="399">
        <v>-5441.2259800000029</v>
      </c>
      <c r="DZ452" s="399">
        <v>0</v>
      </c>
      <c r="EA452" s="399">
        <v>0</v>
      </c>
      <c r="EB452" s="399">
        <v>0</v>
      </c>
      <c r="EC452" s="399">
        <v>-4571.5077047366813</v>
      </c>
      <c r="ED452" s="399">
        <v>0</v>
      </c>
      <c r="EE452" s="399">
        <v>0</v>
      </c>
      <c r="EF452" s="399">
        <v>0</v>
      </c>
      <c r="EG452" s="399">
        <v>0</v>
      </c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>
        <v>0</v>
      </c>
      <c r="EN452" s="399">
        <v>0</v>
      </c>
      <c r="EO452" s="399">
        <v>0</v>
      </c>
      <c r="EP452" s="399">
        <v>0</v>
      </c>
      <c r="EQ452" s="399">
        <v>0</v>
      </c>
      <c r="ER452" s="399">
        <v>0</v>
      </c>
      <c r="ES452" s="399">
        <v>0</v>
      </c>
      <c r="ET452" s="399">
        <v>0</v>
      </c>
      <c r="EU452" s="399">
        <v>0</v>
      </c>
      <c r="EV452" s="399">
        <v>218</v>
      </c>
      <c r="EW452" s="399">
        <v>0</v>
      </c>
      <c r="EX452" s="399">
        <v>0</v>
      </c>
      <c r="EY452" s="399">
        <v>0</v>
      </c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956</v>
      </c>
      <c r="C453" s="399" t="s">
        <v>2398</v>
      </c>
      <c r="D453" s="399" t="s">
        <v>533</v>
      </c>
      <c r="E453" s="399" t="s">
        <v>921</v>
      </c>
      <c r="F453" s="399" t="s">
        <v>2362</v>
      </c>
      <c r="G453" s="399" t="s">
        <v>1239</v>
      </c>
      <c r="H453" s="399" t="s">
        <v>1239</v>
      </c>
      <c r="I453" s="399" t="s">
        <v>1239</v>
      </c>
      <c r="J453" s="399" t="s">
        <v>2329</v>
      </c>
      <c r="K453" s="789">
        <v>44682</v>
      </c>
      <c r="L453" s="399">
        <v>0</v>
      </c>
      <c r="M453" s="399">
        <v>0</v>
      </c>
      <c r="N453" s="399">
        <v>0</v>
      </c>
      <c r="O453" s="399">
        <v>0</v>
      </c>
      <c r="P453" s="399">
        <v>0</v>
      </c>
      <c r="Q453" s="399">
        <v>0</v>
      </c>
      <c r="R453" s="399"/>
      <c r="S453" s="399"/>
      <c r="T453" s="399"/>
      <c r="U453" s="399"/>
      <c r="V453" s="399"/>
      <c r="W453" s="399"/>
      <c r="X453" s="399"/>
      <c r="Y453" s="399"/>
      <c r="Z453" s="399"/>
      <c r="AA453" s="399">
        <v>0</v>
      </c>
      <c r="AB453" s="399"/>
      <c r="AC453" s="399"/>
      <c r="AD453" s="399"/>
      <c r="AE453" s="399"/>
      <c r="AF453" s="399"/>
      <c r="AG453" s="399"/>
      <c r="AH453" s="399"/>
      <c r="AI453" s="399"/>
      <c r="AJ453" s="399"/>
      <c r="AK453" s="399"/>
      <c r="AL453" s="399"/>
      <c r="AM453" s="399"/>
      <c r="AN453" s="399"/>
      <c r="AO453" s="399"/>
      <c r="AP453" s="399"/>
      <c r="AQ453" s="399"/>
      <c r="AR453" s="399"/>
      <c r="AS453" s="399"/>
      <c r="AT453" s="399"/>
      <c r="AU453" s="399"/>
      <c r="AV453" s="399"/>
      <c r="AW453" s="399"/>
      <c r="AX453" s="399"/>
      <c r="AY453" s="399"/>
      <c r="AZ453" s="399">
        <v>0</v>
      </c>
      <c r="BA453" s="399"/>
      <c r="BB453" s="399"/>
      <c r="BC453" s="399"/>
      <c r="BD453" s="399"/>
      <c r="BE453" s="399"/>
      <c r="BF453" s="399"/>
      <c r="BG453" s="399"/>
      <c r="BH453" s="399"/>
      <c r="BI453" s="399">
        <v>729.41</v>
      </c>
      <c r="BJ453" s="399">
        <v>3366.54</v>
      </c>
      <c r="BK453" s="399">
        <v>30611.200000000001</v>
      </c>
      <c r="BL453" s="399">
        <v>2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/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/>
      <c r="CJ453" s="399">
        <v>-0.03</v>
      </c>
      <c r="CK453" s="399"/>
      <c r="CL453" s="399"/>
      <c r="CM453" s="399"/>
      <c r="CN453" s="399"/>
      <c r="CO453" s="399">
        <v>0</v>
      </c>
      <c r="CP453" s="399">
        <v>0</v>
      </c>
      <c r="CQ453" s="399">
        <v>31</v>
      </c>
      <c r="CR453" s="399"/>
      <c r="CS453" s="399"/>
      <c r="CT453" s="399"/>
      <c r="CU453" s="399"/>
      <c r="CV453" s="399"/>
      <c r="CW453" s="399"/>
      <c r="CX453" s="399"/>
      <c r="CY453" s="399"/>
      <c r="CZ453" s="399"/>
      <c r="DA453" s="399"/>
      <c r="DB453" s="399"/>
      <c r="DC453" s="399"/>
      <c r="DD453" s="399"/>
      <c r="DE453" s="399"/>
      <c r="DF453" s="399"/>
      <c r="DG453" s="399"/>
      <c r="DH453" s="399"/>
      <c r="DI453" s="399"/>
      <c r="DJ453" s="399"/>
      <c r="DK453" s="399">
        <v>0</v>
      </c>
      <c r="DL453" s="399"/>
      <c r="DM453" s="399"/>
      <c r="DN453" s="399"/>
      <c r="DO453" s="399"/>
      <c r="DP453" s="399"/>
      <c r="DQ453" s="399"/>
      <c r="DR453" s="399"/>
      <c r="DS453" s="399"/>
      <c r="DT453" s="399"/>
      <c r="DU453" s="399"/>
      <c r="DV453" s="399"/>
      <c r="DW453" s="399"/>
      <c r="DX453" s="399"/>
      <c r="DY453" s="399"/>
      <c r="DZ453" s="399"/>
      <c r="EA453" s="399"/>
      <c r="EB453" s="399"/>
      <c r="EC453" s="399"/>
      <c r="ED453" s="399"/>
      <c r="EE453" s="399"/>
      <c r="EF453" s="399"/>
      <c r="EG453" s="399"/>
      <c r="EH453" s="399"/>
      <c r="EI453" s="399"/>
      <c r="EJ453" s="399"/>
      <c r="EK453" s="399"/>
      <c r="EL453" s="399"/>
      <c r="EM453" s="399"/>
      <c r="EN453" s="399"/>
      <c r="EO453" s="399"/>
      <c r="EP453" s="399"/>
      <c r="EQ453" s="399"/>
      <c r="ER453" s="399"/>
      <c r="ES453" s="399"/>
      <c r="ET453" s="399"/>
      <c r="EU453" s="399"/>
      <c r="EV453" s="399">
        <v>218</v>
      </c>
      <c r="EW453" s="399"/>
      <c r="EX453" s="399"/>
      <c r="EY453" s="399"/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956</v>
      </c>
      <c r="C454" s="399" t="s">
        <v>2334</v>
      </c>
      <c r="D454" s="399" t="s">
        <v>533</v>
      </c>
      <c r="E454" s="399" t="s">
        <v>921</v>
      </c>
      <c r="F454" s="399" t="s">
        <v>2362</v>
      </c>
      <c r="G454" s="399" t="s">
        <v>1239</v>
      </c>
      <c r="H454" s="399" t="s">
        <v>1239</v>
      </c>
      <c r="I454" s="399" t="s">
        <v>893</v>
      </c>
      <c r="J454" s="399" t="s">
        <v>2329</v>
      </c>
      <c r="K454" s="789">
        <v>44682</v>
      </c>
      <c r="L454" s="399">
        <v>0</v>
      </c>
      <c r="M454" s="399">
        <v>0</v>
      </c>
      <c r="N454" s="399">
        <v>0.52400000000000002</v>
      </c>
      <c r="O454" s="399">
        <v>0.49256</v>
      </c>
      <c r="P454" s="399">
        <v>0.52400000000000002</v>
      </c>
      <c r="Q454" s="399">
        <v>0.49256</v>
      </c>
      <c r="R454" s="399"/>
      <c r="S454" s="399">
        <v>2741.05</v>
      </c>
      <c r="T454" s="399">
        <v>141.32</v>
      </c>
      <c r="U454" s="399"/>
      <c r="V454" s="399">
        <v>1510.3618800000002</v>
      </c>
      <c r="W454" s="399">
        <v>1510.3618800000002</v>
      </c>
      <c r="X454" s="399">
        <v>1081.4731199999999</v>
      </c>
      <c r="Y454" s="399">
        <v>0</v>
      </c>
      <c r="Z454" s="399">
        <v>27.661450131947682</v>
      </c>
      <c r="AA454" s="399">
        <v>0</v>
      </c>
      <c r="AB454" s="399">
        <v>0</v>
      </c>
      <c r="AC454" s="399">
        <v>0</v>
      </c>
      <c r="AD454" s="399">
        <v>415.8262150630793</v>
      </c>
      <c r="AE454" s="399">
        <v>983.97177791666752</v>
      </c>
      <c r="AF454" s="399">
        <v>74.051119336760678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4.9161639908614756</v>
      </c>
      <c r="AM454" s="399"/>
      <c r="AN454" s="399">
        <v>0.31478902411501514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3.6223902146261109</v>
      </c>
      <c r="BH454" s="399">
        <v>0</v>
      </c>
      <c r="BI454" s="399">
        <v>0</v>
      </c>
      <c r="BJ454" s="399">
        <v>0</v>
      </c>
      <c r="BK454" s="399">
        <v>0</v>
      </c>
      <c r="BL454" s="399">
        <v>0</v>
      </c>
      <c r="BM454" s="399"/>
      <c r="BN454" s="399"/>
      <c r="BO454" s="399"/>
      <c r="BP454" s="399"/>
      <c r="BQ454" s="399">
        <v>64.888387200000039</v>
      </c>
      <c r="BR454" s="399"/>
      <c r="BS454" s="399"/>
      <c r="BT454" s="399"/>
      <c r="BU454" s="399"/>
      <c r="BV454" s="399">
        <v>77.673509551386786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1011.3012</v>
      </c>
      <c r="CJ454" s="399">
        <v>-408.46896720000007</v>
      </c>
      <c r="CK454" s="399"/>
      <c r="CL454" s="399"/>
      <c r="CM454" s="399"/>
      <c r="CN454" s="399"/>
      <c r="CO454" s="399">
        <v>-428.88876000000016</v>
      </c>
      <c r="CP454" s="399">
        <v>0</v>
      </c>
      <c r="CQ454" s="399">
        <v>31</v>
      </c>
      <c r="CR454" s="399">
        <v>-3.7973492902998487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-1.9804568250337411</v>
      </c>
      <c r="DA454" s="399">
        <v>0</v>
      </c>
      <c r="DB454" s="399">
        <v>0</v>
      </c>
      <c r="DC454" s="399">
        <v>0</v>
      </c>
      <c r="DD454" s="399">
        <v>0</v>
      </c>
      <c r="DE454" s="399">
        <v>0</v>
      </c>
      <c r="DF454" s="399">
        <v>0</v>
      </c>
      <c r="DG454" s="399">
        <v>0</v>
      </c>
      <c r="DH454" s="399">
        <v>0</v>
      </c>
      <c r="DI454" s="399">
        <v>-1.5585473783540138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-0.24565187745011485</v>
      </c>
      <c r="DP454" s="399">
        <v>-1.2693209461978883E-2</v>
      </c>
      <c r="DQ454" s="399">
        <v>0</v>
      </c>
      <c r="DR454" s="399">
        <v>0</v>
      </c>
      <c r="DS454" s="399"/>
      <c r="DT454" s="399"/>
      <c r="DU454" s="399"/>
      <c r="DV454" s="399">
        <v>983.97177791666752</v>
      </c>
      <c r="DW454" s="399">
        <v>0</v>
      </c>
      <c r="DX454" s="399">
        <v>0</v>
      </c>
      <c r="DY454" s="399">
        <v>-428.88876000000016</v>
      </c>
      <c r="DZ454" s="399">
        <v>0</v>
      </c>
      <c r="EA454" s="399">
        <v>0</v>
      </c>
      <c r="EB454" s="399">
        <v>0</v>
      </c>
      <c r="EC454" s="399">
        <v>-425.09488148919934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0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218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956</v>
      </c>
      <c r="C455" s="399" t="s">
        <v>2334</v>
      </c>
      <c r="D455" s="399" t="s">
        <v>533</v>
      </c>
      <c r="E455" s="399" t="s">
        <v>921</v>
      </c>
      <c r="F455" s="399" t="s">
        <v>2362</v>
      </c>
      <c r="G455" s="399" t="s">
        <v>1239</v>
      </c>
      <c r="H455" s="399" t="s">
        <v>1239</v>
      </c>
      <c r="I455" s="399" t="s">
        <v>2326</v>
      </c>
      <c r="J455" s="399" t="s">
        <v>2329</v>
      </c>
      <c r="K455" s="789">
        <v>44682</v>
      </c>
      <c r="L455" s="399">
        <v>0</v>
      </c>
      <c r="M455" s="399">
        <v>0</v>
      </c>
      <c r="N455" s="399">
        <v>6.7729999999999997</v>
      </c>
      <c r="O455" s="399">
        <v>6.3666200000000002</v>
      </c>
      <c r="P455" s="399">
        <v>6.7729999999999997</v>
      </c>
      <c r="Q455" s="399">
        <v>6.3666200000000002</v>
      </c>
      <c r="R455" s="399"/>
      <c r="S455" s="399">
        <v>69.680000000000007</v>
      </c>
      <c r="T455" s="399">
        <v>141.32</v>
      </c>
      <c r="U455" s="399"/>
      <c r="V455" s="399">
        <v>1429.1029999999998</v>
      </c>
      <c r="W455" s="399">
        <v>1429.1029999999998</v>
      </c>
      <c r="X455" s="399">
        <v>1405.6684199999997</v>
      </c>
      <c r="Y455" s="399">
        <v>0</v>
      </c>
      <c r="Z455" s="399">
        <v>357.54007966351452</v>
      </c>
      <c r="AA455" s="399">
        <v>0</v>
      </c>
      <c r="AB455" s="399">
        <v>0</v>
      </c>
      <c r="AC455" s="399">
        <v>0</v>
      </c>
      <c r="AD455" s="399">
        <v>0</v>
      </c>
      <c r="AE455" s="399">
        <v>0</v>
      </c>
      <c r="AF455" s="399">
        <v>957.15311310664117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63.544234179589253</v>
      </c>
      <c r="AM455" s="399"/>
      <c r="AN455" s="399">
        <v>4.0688283594103005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46.821467411569941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>
        <v>84.340105199999897</v>
      </c>
      <c r="BR455" s="399"/>
      <c r="BS455" s="399"/>
      <c r="BT455" s="399"/>
      <c r="BU455" s="399"/>
      <c r="BV455" s="399">
        <v>1003.9745805182112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1322.0298</v>
      </c>
      <c r="CJ455" s="399">
        <v>-21.35701999999992</v>
      </c>
      <c r="CK455" s="399"/>
      <c r="CL455" s="399"/>
      <c r="CM455" s="399"/>
      <c r="CN455" s="399"/>
      <c r="CO455" s="399">
        <v>-23.434580000000054</v>
      </c>
      <c r="CP455" s="399">
        <v>0</v>
      </c>
      <c r="CQ455" s="399">
        <v>31</v>
      </c>
      <c r="CR455" s="399">
        <v>-23.484375319174205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0</v>
      </c>
      <c r="DA455" s="399">
        <v>0</v>
      </c>
      <c r="DB455" s="399">
        <v>0</v>
      </c>
      <c r="DC455" s="399">
        <v>0</v>
      </c>
      <c r="DD455" s="399">
        <v>0</v>
      </c>
      <c r="DE455" s="399">
        <v>0</v>
      </c>
      <c r="DF455" s="399">
        <v>0</v>
      </c>
      <c r="DG455" s="399">
        <v>0</v>
      </c>
      <c r="DH455" s="399">
        <v>0</v>
      </c>
      <c r="DI455" s="399">
        <v>-20.145117163342945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-3.1751911564305857</v>
      </c>
      <c r="DP455" s="399">
        <v>-0.16406699940073066</v>
      </c>
      <c r="DQ455" s="399">
        <v>0</v>
      </c>
      <c r="DR455" s="399">
        <v>0</v>
      </c>
      <c r="DS455" s="399"/>
      <c r="DT455" s="399"/>
      <c r="DU455" s="399"/>
      <c r="DV455" s="399">
        <v>0</v>
      </c>
      <c r="DW455" s="399">
        <v>0</v>
      </c>
      <c r="DX455" s="399">
        <v>0</v>
      </c>
      <c r="DY455" s="399">
        <v>-23.434580000000096</v>
      </c>
      <c r="DZ455" s="399">
        <v>0</v>
      </c>
      <c r="EA455" s="399">
        <v>0</v>
      </c>
      <c r="EB455" s="399">
        <v>0</v>
      </c>
      <c r="EC455" s="399">
        <v>0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218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956</v>
      </c>
      <c r="C456" s="399" t="s">
        <v>2334</v>
      </c>
      <c r="D456" s="399" t="s">
        <v>533</v>
      </c>
      <c r="E456" s="399" t="s">
        <v>921</v>
      </c>
      <c r="F456" s="399" t="s">
        <v>2362</v>
      </c>
      <c r="G456" s="399" t="s">
        <v>1239</v>
      </c>
      <c r="H456" s="399" t="s">
        <v>1239</v>
      </c>
      <c r="I456" s="399" t="s">
        <v>1239</v>
      </c>
      <c r="J456" s="399" t="s">
        <v>2329</v>
      </c>
      <c r="K456" s="789">
        <v>44682</v>
      </c>
      <c r="L456" s="399">
        <v>88</v>
      </c>
      <c r="M456" s="399">
        <v>82.72</v>
      </c>
      <c r="N456" s="399">
        <v>0</v>
      </c>
      <c r="O456" s="399">
        <v>0</v>
      </c>
      <c r="P456" s="399">
        <v>0</v>
      </c>
      <c r="Q456" s="399">
        <v>0</v>
      </c>
      <c r="R456" s="399">
        <v>35.15</v>
      </c>
      <c r="S456" s="399"/>
      <c r="T456" s="399"/>
      <c r="U456" s="399">
        <v>3093.2</v>
      </c>
      <c r="V456" s="399"/>
      <c r="W456" s="399">
        <v>3093.2</v>
      </c>
      <c r="X456" s="399">
        <v>2258.08</v>
      </c>
      <c r="Y456" s="399">
        <v>0</v>
      </c>
      <c r="Z456" s="399">
        <v>0</v>
      </c>
      <c r="AA456" s="399">
        <v>0</v>
      </c>
      <c r="AB456" s="399">
        <v>0</v>
      </c>
      <c r="AC456" s="399">
        <v>0</v>
      </c>
      <c r="AD456" s="399">
        <v>1173.1608497421912</v>
      </c>
      <c r="AE456" s="399">
        <v>1919.9819954729305</v>
      </c>
      <c r="AF456" s="399"/>
      <c r="AG456" s="399"/>
      <c r="AH456" s="399"/>
      <c r="AI456" s="399">
        <v>0</v>
      </c>
      <c r="AJ456" s="399">
        <v>0</v>
      </c>
      <c r="AK456" s="399">
        <v>0</v>
      </c>
      <c r="AL456" s="399">
        <v>0</v>
      </c>
      <c r="AM456" s="399"/>
      <c r="AN456" s="399">
        <v>0</v>
      </c>
      <c r="AO456" s="399">
        <v>0</v>
      </c>
      <c r="AP456" s="399">
        <v>0</v>
      </c>
      <c r="AQ456" s="399">
        <v>0</v>
      </c>
      <c r="AR456" s="399">
        <v>0</v>
      </c>
      <c r="AS456" s="399"/>
      <c r="AT456" s="399"/>
      <c r="AU456" s="399">
        <v>0</v>
      </c>
      <c r="AV456" s="399">
        <v>0</v>
      </c>
      <c r="AW456" s="399">
        <v>0</v>
      </c>
      <c r="AX456" s="399"/>
      <c r="AY456" s="399"/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/>
      <c r="BG456" s="399">
        <v>0</v>
      </c>
      <c r="BH456" s="399">
        <v>0</v>
      </c>
      <c r="BI456" s="399">
        <v>36.51</v>
      </c>
      <c r="BJ456" s="399">
        <v>168.53</v>
      </c>
      <c r="BK456" s="399">
        <v>1872.46</v>
      </c>
      <c r="BL456" s="399">
        <v>1</v>
      </c>
      <c r="BM456" s="399"/>
      <c r="BN456" s="399"/>
      <c r="BO456" s="399"/>
      <c r="BP456" s="399"/>
      <c r="BQ456" s="399">
        <v>135.48480000000004</v>
      </c>
      <c r="BR456" s="399"/>
      <c r="BS456" s="399"/>
      <c r="BT456" s="399"/>
      <c r="BU456" s="399"/>
      <c r="BV456" s="399">
        <v>0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2122.5952000000002</v>
      </c>
      <c r="CJ456" s="399">
        <v>-785.04280000000017</v>
      </c>
      <c r="CK456" s="399"/>
      <c r="CL456" s="399"/>
      <c r="CM456" s="399"/>
      <c r="CN456" s="399"/>
      <c r="CO456" s="399">
        <v>-835.11999999999989</v>
      </c>
      <c r="CP456" s="399">
        <v>0</v>
      </c>
      <c r="CQ456" s="399">
        <v>31</v>
      </c>
      <c r="CR456" s="399">
        <v>-5.5874168764919432</v>
      </c>
      <c r="CS456" s="399">
        <v>0</v>
      </c>
      <c r="CT456" s="399">
        <v>0</v>
      </c>
      <c r="CU456" s="399">
        <v>0</v>
      </c>
      <c r="CV456" s="399">
        <v>0</v>
      </c>
      <c r="CW456" s="399"/>
      <c r="CX456" s="399"/>
      <c r="CY456" s="399"/>
      <c r="CZ456" s="399">
        <v>-5.5874168764919432</v>
      </c>
      <c r="DA456" s="399">
        <v>0</v>
      </c>
      <c r="DB456" s="399">
        <v>0</v>
      </c>
      <c r="DC456" s="399"/>
      <c r="DD456" s="399"/>
      <c r="DE456" s="399">
        <v>0</v>
      </c>
      <c r="DF456" s="399">
        <v>0</v>
      </c>
      <c r="DG456" s="399">
        <v>0</v>
      </c>
      <c r="DH456" s="399">
        <v>0</v>
      </c>
      <c r="DI456" s="399">
        <v>0</v>
      </c>
      <c r="DJ456" s="399"/>
      <c r="DK456" s="399">
        <v>0</v>
      </c>
      <c r="DL456" s="399">
        <v>0</v>
      </c>
      <c r="DM456" s="399"/>
      <c r="DN456" s="399">
        <v>0</v>
      </c>
      <c r="DO456" s="399">
        <v>0</v>
      </c>
      <c r="DP456" s="399">
        <v>0</v>
      </c>
      <c r="DQ456" s="399">
        <v>0</v>
      </c>
      <c r="DR456" s="399">
        <v>0</v>
      </c>
      <c r="DS456" s="399"/>
      <c r="DT456" s="399"/>
      <c r="DU456" s="399">
        <v>1919.9819954729305</v>
      </c>
      <c r="DV456" s="399"/>
      <c r="DW456" s="399">
        <v>0</v>
      </c>
      <c r="DX456" s="399">
        <v>0</v>
      </c>
      <c r="DY456" s="399">
        <v>-835.11999999999989</v>
      </c>
      <c r="DZ456" s="399"/>
      <c r="EA456" s="399">
        <v>0</v>
      </c>
      <c r="EB456" s="399"/>
      <c r="EC456" s="399">
        <v>-829.46943920995454</v>
      </c>
      <c r="ED456" s="399"/>
      <c r="EE456" s="399">
        <v>0</v>
      </c>
      <c r="EF456" s="399">
        <v>0</v>
      </c>
      <c r="EG456" s="399"/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/>
      <c r="EN456" s="399"/>
      <c r="EO456" s="399">
        <v>0</v>
      </c>
      <c r="EP456" s="399">
        <v>0</v>
      </c>
      <c r="EQ456" s="399"/>
      <c r="ER456" s="399">
        <v>0</v>
      </c>
      <c r="ES456" s="399"/>
      <c r="ET456" s="399">
        <v>0</v>
      </c>
      <c r="EU456" s="399"/>
      <c r="EV456" s="399">
        <v>218</v>
      </c>
      <c r="EW456" s="399"/>
      <c r="EX456" s="399"/>
      <c r="EY456" s="399"/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956</v>
      </c>
      <c r="C457" s="399" t="s">
        <v>2328</v>
      </c>
      <c r="D457" s="399" t="s">
        <v>2335</v>
      </c>
      <c r="E457" s="399" t="s">
        <v>894</v>
      </c>
      <c r="F457" s="399" t="s">
        <v>2363</v>
      </c>
      <c r="G457" s="399" t="s">
        <v>2340</v>
      </c>
      <c r="H457" s="399" t="s">
        <v>1239</v>
      </c>
      <c r="I457" s="399" t="s">
        <v>1239</v>
      </c>
      <c r="J457" s="399" t="s">
        <v>2329</v>
      </c>
      <c r="K457" s="789">
        <v>44682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9.5500000000000007</v>
      </c>
      <c r="BJ457" s="399">
        <v>44.64</v>
      </c>
      <c r="BK457" s="399">
        <v>221.91</v>
      </c>
      <c r="BL457" s="399">
        <v>21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31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218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2361</v>
      </c>
      <c r="C458" s="399" t="s">
        <v>2328</v>
      </c>
      <c r="D458" s="399" t="s">
        <v>2335</v>
      </c>
      <c r="E458" s="399" t="s">
        <v>894</v>
      </c>
      <c r="F458" s="399" t="s">
        <v>2363</v>
      </c>
      <c r="G458" s="399" t="s">
        <v>2340</v>
      </c>
      <c r="H458" s="399" t="s">
        <v>1239</v>
      </c>
      <c r="I458" s="399" t="s">
        <v>1239</v>
      </c>
      <c r="J458" s="399" t="s">
        <v>2329</v>
      </c>
      <c r="K458" s="789">
        <v>44682</v>
      </c>
      <c r="L458" s="399">
        <v>0</v>
      </c>
      <c r="M458" s="399">
        <v>0</v>
      </c>
      <c r="N458" s="399">
        <v>0</v>
      </c>
      <c r="O458" s="399">
        <v>0</v>
      </c>
      <c r="P458" s="399">
        <v>0</v>
      </c>
      <c r="Q458" s="399">
        <v>0</v>
      </c>
      <c r="R458" s="399"/>
      <c r="S458" s="399"/>
      <c r="T458" s="399"/>
      <c r="U458" s="399"/>
      <c r="V458" s="399"/>
      <c r="W458" s="399"/>
      <c r="X458" s="399"/>
      <c r="Y458" s="399"/>
      <c r="Z458" s="399"/>
      <c r="AA458" s="399">
        <v>0</v>
      </c>
      <c r="AB458" s="399"/>
      <c r="AC458" s="399"/>
      <c r="AD458" s="399"/>
      <c r="AE458" s="399"/>
      <c r="AF458" s="399"/>
      <c r="AG458" s="399"/>
      <c r="AH458" s="399"/>
      <c r="AI458" s="399"/>
      <c r="AJ458" s="399"/>
      <c r="AK458" s="399"/>
      <c r="AL458" s="399"/>
      <c r="AM458" s="399"/>
      <c r="AN458" s="399"/>
      <c r="AO458" s="399"/>
      <c r="AP458" s="399"/>
      <c r="AQ458" s="399"/>
      <c r="AR458" s="399"/>
      <c r="AS458" s="399"/>
      <c r="AT458" s="399"/>
      <c r="AU458" s="399"/>
      <c r="AV458" s="399"/>
      <c r="AW458" s="399"/>
      <c r="AX458" s="399"/>
      <c r="AY458" s="399"/>
      <c r="AZ458" s="399">
        <v>0</v>
      </c>
      <c r="BA458" s="399"/>
      <c r="BB458" s="399"/>
      <c r="BC458" s="399"/>
      <c r="BD458" s="399"/>
      <c r="BE458" s="399"/>
      <c r="BF458" s="399"/>
      <c r="BG458" s="399"/>
      <c r="BH458" s="399"/>
      <c r="BI458" s="399">
        <v>1.48</v>
      </c>
      <c r="BJ458" s="399">
        <v>6.95</v>
      </c>
      <c r="BK458" s="399">
        <v>28.68</v>
      </c>
      <c r="BL458" s="399">
        <v>3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/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/>
      <c r="CJ458" s="399">
        <v>-0.03</v>
      </c>
      <c r="CK458" s="399"/>
      <c r="CL458" s="399"/>
      <c r="CM458" s="399"/>
      <c r="CN458" s="399"/>
      <c r="CO458" s="399">
        <v>0</v>
      </c>
      <c r="CP458" s="399">
        <v>0</v>
      </c>
      <c r="CQ458" s="399">
        <v>31</v>
      </c>
      <c r="CR458" s="399"/>
      <c r="CS458" s="399"/>
      <c r="CT458" s="399"/>
      <c r="CU458" s="399"/>
      <c r="CV458" s="399"/>
      <c r="CW458" s="399"/>
      <c r="CX458" s="399"/>
      <c r="CY458" s="399"/>
      <c r="CZ458" s="399"/>
      <c r="DA458" s="399"/>
      <c r="DB458" s="399"/>
      <c r="DC458" s="399"/>
      <c r="DD458" s="399"/>
      <c r="DE458" s="399"/>
      <c r="DF458" s="399"/>
      <c r="DG458" s="399"/>
      <c r="DH458" s="399"/>
      <c r="DI458" s="399"/>
      <c r="DJ458" s="399"/>
      <c r="DK458" s="399">
        <v>0</v>
      </c>
      <c r="DL458" s="399"/>
      <c r="DM458" s="399"/>
      <c r="DN458" s="399"/>
      <c r="DO458" s="399"/>
      <c r="DP458" s="399"/>
      <c r="DQ458" s="399"/>
      <c r="DR458" s="399"/>
      <c r="DS458" s="399"/>
      <c r="DT458" s="399"/>
      <c r="DU458" s="399"/>
      <c r="DV458" s="399"/>
      <c r="DW458" s="399"/>
      <c r="DX458" s="399"/>
      <c r="DY458" s="399"/>
      <c r="DZ458" s="399"/>
      <c r="EA458" s="399"/>
      <c r="EB458" s="399"/>
      <c r="EC458" s="399"/>
      <c r="ED458" s="399"/>
      <c r="EE458" s="399"/>
      <c r="EF458" s="399"/>
      <c r="EG458" s="399"/>
      <c r="EH458" s="399"/>
      <c r="EI458" s="399"/>
      <c r="EJ458" s="399"/>
      <c r="EK458" s="399"/>
      <c r="EL458" s="399"/>
      <c r="EM458" s="399"/>
      <c r="EN458" s="399"/>
      <c r="EO458" s="399"/>
      <c r="EP458" s="399"/>
      <c r="EQ458" s="399"/>
      <c r="ER458" s="399"/>
      <c r="ES458" s="399"/>
      <c r="ET458" s="399"/>
      <c r="EU458" s="399"/>
      <c r="EV458" s="399">
        <v>218</v>
      </c>
      <c r="EW458" s="399"/>
      <c r="EX458" s="399"/>
      <c r="EY458" s="399"/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956</v>
      </c>
      <c r="C459" s="399" t="s">
        <v>2328</v>
      </c>
      <c r="D459" s="399" t="s">
        <v>2335</v>
      </c>
      <c r="E459" s="399" t="s">
        <v>894</v>
      </c>
      <c r="F459" s="399" t="s">
        <v>2363</v>
      </c>
      <c r="G459" s="399" t="s">
        <v>2340</v>
      </c>
      <c r="H459" s="399" t="s">
        <v>1239</v>
      </c>
      <c r="I459" s="399" t="s">
        <v>1239</v>
      </c>
      <c r="J459" s="399" t="s">
        <v>2329</v>
      </c>
      <c r="K459" s="789">
        <v>44682</v>
      </c>
      <c r="L459" s="399">
        <v>0</v>
      </c>
      <c r="M459" s="399">
        <v>0</v>
      </c>
      <c r="N459" s="399">
        <v>2.173</v>
      </c>
      <c r="O459" s="399">
        <v>2.173</v>
      </c>
      <c r="P459" s="399">
        <v>2.173</v>
      </c>
      <c r="Q459" s="399">
        <v>2.173</v>
      </c>
      <c r="R459" s="399"/>
      <c r="S459" s="399">
        <v>521.86</v>
      </c>
      <c r="T459" s="399">
        <v>141.32</v>
      </c>
      <c r="U459" s="399"/>
      <c r="V459" s="399">
        <v>1441.09014</v>
      </c>
      <c r="W459" s="399">
        <v>1441.09014</v>
      </c>
      <c r="X459" s="399">
        <v>1126.3310900000001</v>
      </c>
      <c r="Y459" s="399">
        <v>0</v>
      </c>
      <c r="Z459" s="399">
        <v>131.85121333842744</v>
      </c>
      <c r="AA459" s="399">
        <v>0</v>
      </c>
      <c r="AB459" s="399">
        <v>0</v>
      </c>
      <c r="AC459" s="399">
        <v>0</v>
      </c>
      <c r="AD459" s="399">
        <v>233.71441223113095</v>
      </c>
      <c r="AE459" s="399">
        <v>706.118077226521</v>
      </c>
      <c r="AF459" s="399">
        <v>307.08603495950564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20.387069374316766</v>
      </c>
      <c r="AM459" s="399"/>
      <c r="AN459" s="399">
        <v>3.0136613031928046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38.907343377895828</v>
      </c>
      <c r="BH459" s="399">
        <v>0</v>
      </c>
      <c r="BI459" s="399">
        <v>0</v>
      </c>
      <c r="BJ459" s="399">
        <v>0</v>
      </c>
      <c r="BK459" s="399">
        <v>0</v>
      </c>
      <c r="BL459" s="399">
        <v>0</v>
      </c>
      <c r="BM459" s="399"/>
      <c r="BN459" s="399"/>
      <c r="BO459" s="399"/>
      <c r="BP459" s="399"/>
      <c r="BQ459" s="399"/>
      <c r="BR459" s="399">
        <v>135.16060000000002</v>
      </c>
      <c r="BS459" s="399"/>
      <c r="BT459" s="399"/>
      <c r="BU459" s="399"/>
      <c r="BV459" s="399">
        <v>345.99337833740145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989.80209999999988</v>
      </c>
      <c r="CJ459" s="399">
        <v>-278.36897000000022</v>
      </c>
      <c r="CK459" s="399"/>
      <c r="CL459" s="399"/>
      <c r="CM459" s="399"/>
      <c r="CN459" s="399"/>
      <c r="CO459" s="399">
        <v>-314.75905000000006</v>
      </c>
      <c r="CP459" s="399">
        <v>0</v>
      </c>
      <c r="CQ459" s="399">
        <v>31</v>
      </c>
      <c r="CR459" s="399">
        <v>-9.6823172816742726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-1.1131123677265577</v>
      </c>
      <c r="DA459" s="399">
        <v>0</v>
      </c>
      <c r="DB459" s="399">
        <v>0</v>
      </c>
      <c r="DC459" s="399">
        <v>0</v>
      </c>
      <c r="DD459" s="399">
        <v>0</v>
      </c>
      <c r="DE459" s="399">
        <v>0</v>
      </c>
      <c r="DF459" s="399">
        <v>0</v>
      </c>
      <c r="DG459" s="399">
        <v>0</v>
      </c>
      <c r="DH459" s="399">
        <v>0</v>
      </c>
      <c r="DI459" s="399">
        <v>-7.4289801113520326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-1.0187052093494273</v>
      </c>
      <c r="DP459" s="399">
        <v>-0.12151959324638195</v>
      </c>
      <c r="DQ459" s="399">
        <v>0</v>
      </c>
      <c r="DR459" s="399">
        <v>0</v>
      </c>
      <c r="DS459" s="399"/>
      <c r="DT459" s="399"/>
      <c r="DU459" s="399"/>
      <c r="DV459" s="399">
        <v>706.118077226521</v>
      </c>
      <c r="DW459" s="399">
        <v>0</v>
      </c>
      <c r="DX459" s="399">
        <v>0</v>
      </c>
      <c r="DY459" s="399">
        <v>-314.75905</v>
      </c>
      <c r="DZ459" s="399">
        <v>0</v>
      </c>
      <c r="EA459" s="399">
        <v>0</v>
      </c>
      <c r="EB459" s="399">
        <v>0</v>
      </c>
      <c r="EC459" s="399">
        <v>-305.05669684096284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218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2361</v>
      </c>
      <c r="C460" s="399" t="s">
        <v>2328</v>
      </c>
      <c r="D460" s="399" t="s">
        <v>2335</v>
      </c>
      <c r="E460" s="399" t="s">
        <v>894</v>
      </c>
      <c r="F460" s="399" t="s">
        <v>2363</v>
      </c>
      <c r="G460" s="399" t="s">
        <v>2340</v>
      </c>
      <c r="H460" s="399" t="s">
        <v>1239</v>
      </c>
      <c r="I460" s="399" t="s">
        <v>1239</v>
      </c>
      <c r="J460" s="399" t="s">
        <v>2329</v>
      </c>
      <c r="K460" s="789">
        <v>44682</v>
      </c>
      <c r="L460" s="399">
        <v>0</v>
      </c>
      <c r="M460" s="399">
        <v>0</v>
      </c>
      <c r="N460" s="399">
        <v>0.34200000000000003</v>
      </c>
      <c r="O460" s="399">
        <v>0.34200000000000003</v>
      </c>
      <c r="P460" s="399">
        <v>0.34200000000000003</v>
      </c>
      <c r="Q460" s="399">
        <v>0.34200000000000003</v>
      </c>
      <c r="R460" s="399"/>
      <c r="S460" s="399">
        <v>521.86</v>
      </c>
      <c r="T460" s="399">
        <v>141.32</v>
      </c>
      <c r="U460" s="399"/>
      <c r="V460" s="399">
        <v>226.80756000000002</v>
      </c>
      <c r="W460" s="399">
        <v>226.80756000000002</v>
      </c>
      <c r="X460" s="399">
        <v>177.26886000000002</v>
      </c>
      <c r="Y460" s="399">
        <v>0</v>
      </c>
      <c r="Z460" s="399">
        <v>20.751548532785176</v>
      </c>
      <c r="AA460" s="399">
        <v>0</v>
      </c>
      <c r="AB460" s="399">
        <v>0</v>
      </c>
      <c r="AC460" s="399">
        <v>0</v>
      </c>
      <c r="AD460" s="399">
        <v>36.783400360352871</v>
      </c>
      <c r="AE460" s="399">
        <v>111.13317184144969</v>
      </c>
      <c r="AF460" s="399">
        <v>48.331074070939223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3.2086413833485201</v>
      </c>
      <c r="AM460" s="399"/>
      <c r="AN460" s="399">
        <v>0.47430840574870653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6.1234751197608714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/>
      <c r="BR460" s="399">
        <v>21.272400000000001</v>
      </c>
      <c r="BS460" s="399"/>
      <c r="BT460" s="399"/>
      <c r="BU460" s="399"/>
      <c r="BV460" s="399">
        <v>54.454549190700092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155.08420000000001</v>
      </c>
      <c r="CJ460" s="399">
        <v>-44.533579999999972</v>
      </c>
      <c r="CK460" s="399"/>
      <c r="CL460" s="399"/>
      <c r="CM460" s="399"/>
      <c r="CN460" s="399"/>
      <c r="CO460" s="399">
        <v>-49.538700000000013</v>
      </c>
      <c r="CP460" s="399">
        <v>0</v>
      </c>
      <c r="CQ460" s="399">
        <v>31</v>
      </c>
      <c r="CR460" s="399">
        <v>-1.5238621768672971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-0.17518841682580444</v>
      </c>
      <c r="DA460" s="399">
        <v>0</v>
      </c>
      <c r="DB460" s="399">
        <v>0</v>
      </c>
      <c r="DC460" s="399">
        <v>0</v>
      </c>
      <c r="DD460" s="399">
        <v>0</v>
      </c>
      <c r="DE460" s="399">
        <v>0</v>
      </c>
      <c r="DF460" s="399">
        <v>0</v>
      </c>
      <c r="DG460" s="399">
        <v>0</v>
      </c>
      <c r="DH460" s="399">
        <v>0</v>
      </c>
      <c r="DI460" s="399">
        <v>-1.169218222771466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-0.16033004215255575</v>
      </c>
      <c r="DP460" s="399">
        <v>-1.9125495117470193E-2</v>
      </c>
      <c r="DQ460" s="399">
        <v>0</v>
      </c>
      <c r="DR460" s="399">
        <v>0</v>
      </c>
      <c r="DS460" s="399"/>
      <c r="DT460" s="399"/>
      <c r="DU460" s="399"/>
      <c r="DV460" s="399">
        <v>111.13317184144969</v>
      </c>
      <c r="DW460" s="399">
        <v>0</v>
      </c>
      <c r="DX460" s="399">
        <v>0</v>
      </c>
      <c r="DY460" s="399">
        <v>-49.538700000000006</v>
      </c>
      <c r="DZ460" s="399">
        <v>0</v>
      </c>
      <c r="EA460" s="399">
        <v>0</v>
      </c>
      <c r="EB460" s="399">
        <v>0</v>
      </c>
      <c r="EC460" s="399">
        <v>-48.011684454491153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218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956</v>
      </c>
      <c r="C461" s="399" t="s">
        <v>2328</v>
      </c>
      <c r="D461" s="399" t="s">
        <v>2335</v>
      </c>
      <c r="E461" s="399" t="s">
        <v>894</v>
      </c>
      <c r="F461" s="399" t="s">
        <v>2363</v>
      </c>
      <c r="G461" s="399" t="s">
        <v>2341</v>
      </c>
      <c r="H461" s="399" t="s">
        <v>1239</v>
      </c>
      <c r="I461" s="399" t="s">
        <v>1239</v>
      </c>
      <c r="J461" s="399" t="s">
        <v>2329</v>
      </c>
      <c r="K461" s="789">
        <v>44682</v>
      </c>
      <c r="L461" s="399">
        <v>0</v>
      </c>
      <c r="M461" s="399">
        <v>0</v>
      </c>
      <c r="N461" s="399">
        <v>0.59099999999999997</v>
      </c>
      <c r="O461" s="399">
        <v>0.2364</v>
      </c>
      <c r="P461" s="399">
        <v>0.59099999999999997</v>
      </c>
      <c r="Q461" s="399">
        <v>0.2364</v>
      </c>
      <c r="R461" s="399"/>
      <c r="S461" s="399">
        <v>521.86</v>
      </c>
      <c r="T461" s="399">
        <v>141.32</v>
      </c>
      <c r="U461" s="399"/>
      <c r="V461" s="399">
        <v>391.93938000000003</v>
      </c>
      <c r="W461" s="399">
        <v>391.93938000000003</v>
      </c>
      <c r="X461" s="399">
        <v>306.33303000000001</v>
      </c>
      <c r="Y461" s="399">
        <v>0</v>
      </c>
      <c r="Z461" s="399">
        <v>35.86013211367262</v>
      </c>
      <c r="AA461" s="399">
        <v>0</v>
      </c>
      <c r="AB461" s="399">
        <v>0</v>
      </c>
      <c r="AC461" s="399">
        <v>0</v>
      </c>
      <c r="AD461" s="399">
        <v>63.564297113943105</v>
      </c>
      <c r="AE461" s="399">
        <v>192.04591976110163</v>
      </c>
      <c r="AF461" s="399">
        <v>83.519487648903734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5.5447574782426177</v>
      </c>
      <c r="AM461" s="399"/>
      <c r="AN461" s="399">
        <v>0.81963820993416814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10.58179472449905</v>
      </c>
      <c r="BH461" s="399">
        <v>0</v>
      </c>
      <c r="BI461" s="399">
        <v>0</v>
      </c>
      <c r="BJ461" s="399">
        <v>0</v>
      </c>
      <c r="BK461" s="399">
        <v>0</v>
      </c>
      <c r="BL461" s="399">
        <v>0</v>
      </c>
      <c r="BM461" s="399"/>
      <c r="BN461" s="399"/>
      <c r="BO461" s="399"/>
      <c r="BP461" s="399"/>
      <c r="BQ461" s="399"/>
      <c r="BR461" s="399"/>
      <c r="BS461" s="399">
        <v>198.50389799999999</v>
      </c>
      <c r="BT461" s="399"/>
      <c r="BU461" s="399"/>
      <c r="BV461" s="399">
        <v>94.101282373402782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109.4712</v>
      </c>
      <c r="CJ461" s="399">
        <v>-28.519476000000012</v>
      </c>
      <c r="CK461" s="399"/>
      <c r="CL461" s="399"/>
      <c r="CM461" s="399"/>
      <c r="CN461" s="399"/>
      <c r="CO461" s="399">
        <v>-85.606350000000006</v>
      </c>
      <c r="CP461" s="399">
        <v>0</v>
      </c>
      <c r="CQ461" s="399">
        <v>31</v>
      </c>
      <c r="CR461" s="399">
        <v>-2.633340779323305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-0.30273787819897535</v>
      </c>
      <c r="DA461" s="399">
        <v>0</v>
      </c>
      <c r="DB461" s="399">
        <v>0</v>
      </c>
      <c r="DC461" s="399">
        <v>0</v>
      </c>
      <c r="DD461" s="399">
        <v>0</v>
      </c>
      <c r="DE461" s="399">
        <v>0</v>
      </c>
      <c r="DF461" s="399">
        <v>0</v>
      </c>
      <c r="DG461" s="399">
        <v>0</v>
      </c>
      <c r="DH461" s="399">
        <v>0</v>
      </c>
      <c r="DI461" s="399">
        <v>-2.020491139350689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-0.27706156407064508</v>
      </c>
      <c r="DP461" s="399">
        <v>-3.3050197702996664E-2</v>
      </c>
      <c r="DQ461" s="399">
        <v>0</v>
      </c>
      <c r="DR461" s="399">
        <v>0</v>
      </c>
      <c r="DS461" s="399"/>
      <c r="DT461" s="399"/>
      <c r="DU461" s="399"/>
      <c r="DV461" s="399">
        <v>192.04591976110163</v>
      </c>
      <c r="DW461" s="399">
        <v>0</v>
      </c>
      <c r="DX461" s="399">
        <v>0</v>
      </c>
      <c r="DY461" s="399">
        <v>-85.60635000000002</v>
      </c>
      <c r="DZ461" s="399">
        <v>0</v>
      </c>
      <c r="EA461" s="399">
        <v>0</v>
      </c>
      <c r="EB461" s="399">
        <v>0</v>
      </c>
      <c r="EC461" s="399">
        <v>-82.96755997837505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218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2361</v>
      </c>
      <c r="C462" s="399" t="s">
        <v>2328</v>
      </c>
      <c r="D462" s="399" t="s">
        <v>2335</v>
      </c>
      <c r="E462" s="399" t="s">
        <v>894</v>
      </c>
      <c r="F462" s="399" t="s">
        <v>2363</v>
      </c>
      <c r="G462" s="399" t="s">
        <v>2341</v>
      </c>
      <c r="H462" s="399" t="s">
        <v>1239</v>
      </c>
      <c r="I462" s="399" t="s">
        <v>1239</v>
      </c>
      <c r="J462" s="399" t="s">
        <v>2329</v>
      </c>
      <c r="K462" s="789">
        <v>44682</v>
      </c>
      <c r="L462" s="399">
        <v>0</v>
      </c>
      <c r="M462" s="399">
        <v>0</v>
      </c>
      <c r="N462" s="399">
        <v>6.9000000000000006E-2</v>
      </c>
      <c r="O462" s="399">
        <v>2.76E-2</v>
      </c>
      <c r="P462" s="399">
        <v>6.9000000000000006E-2</v>
      </c>
      <c r="Q462" s="399">
        <v>2.76E-2</v>
      </c>
      <c r="R462" s="399"/>
      <c r="S462" s="399">
        <v>521.86</v>
      </c>
      <c r="T462" s="399">
        <v>141.32</v>
      </c>
      <c r="U462" s="399"/>
      <c r="V462" s="399">
        <v>45.759420000000006</v>
      </c>
      <c r="W462" s="399">
        <v>45.759420000000006</v>
      </c>
      <c r="X462" s="399">
        <v>35.764769999999999</v>
      </c>
      <c r="Y462" s="399">
        <v>0</v>
      </c>
      <c r="Z462" s="399">
        <v>4.1867159320531497</v>
      </c>
      <c r="AA462" s="399">
        <v>0</v>
      </c>
      <c r="AB462" s="399">
        <v>0</v>
      </c>
      <c r="AC462" s="399">
        <v>0</v>
      </c>
      <c r="AD462" s="399">
        <v>7.4212123534045267</v>
      </c>
      <c r="AE462" s="399">
        <v>22.421604845204762</v>
      </c>
      <c r="AF462" s="399">
        <v>9.7510061722070365</v>
      </c>
      <c r="AG462" s="399">
        <v>0</v>
      </c>
      <c r="AH462" s="399">
        <v>0</v>
      </c>
      <c r="AI462" s="399">
        <v>0</v>
      </c>
      <c r="AJ462" s="399">
        <v>0</v>
      </c>
      <c r="AK462" s="399">
        <v>0</v>
      </c>
      <c r="AL462" s="399">
        <v>0.64735747207908745</v>
      </c>
      <c r="AM462" s="399"/>
      <c r="AN462" s="399">
        <v>9.5693801159826758E-2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1.2354379627587724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/>
      <c r="BO462" s="399"/>
      <c r="BP462" s="399"/>
      <c r="BQ462" s="399"/>
      <c r="BR462" s="399"/>
      <c r="BS462" s="399">
        <v>23.175582000000006</v>
      </c>
      <c r="BT462" s="399"/>
      <c r="BU462" s="399"/>
      <c r="BV462" s="399">
        <v>10.986444134965808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13.6839</v>
      </c>
      <c r="CJ462" s="399">
        <v>-2.453184000000002</v>
      </c>
      <c r="CK462" s="399"/>
      <c r="CL462" s="399"/>
      <c r="CM462" s="399"/>
      <c r="CN462" s="399"/>
      <c r="CO462" s="399">
        <v>-9.9946500000000018</v>
      </c>
      <c r="CP462" s="399">
        <v>0</v>
      </c>
      <c r="CQ462" s="399">
        <v>31</v>
      </c>
      <c r="CR462" s="399">
        <v>-0.30744587778901789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-3.5345031464856014E-2</v>
      </c>
      <c r="DA462" s="399">
        <v>0</v>
      </c>
      <c r="DB462" s="399">
        <v>0</v>
      </c>
      <c r="DC462" s="399">
        <v>0</v>
      </c>
      <c r="DD462" s="399">
        <v>0</v>
      </c>
      <c r="DE462" s="399">
        <v>0</v>
      </c>
      <c r="DF462" s="399">
        <v>0</v>
      </c>
      <c r="DG462" s="399">
        <v>0</v>
      </c>
      <c r="DH462" s="399">
        <v>0</v>
      </c>
      <c r="DI462" s="399">
        <v>-0.23589490459424312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-3.2347289206217433E-2</v>
      </c>
      <c r="DP462" s="399">
        <v>-3.858652523700129E-3</v>
      </c>
      <c r="DQ462" s="399">
        <v>0</v>
      </c>
      <c r="DR462" s="399">
        <v>0</v>
      </c>
      <c r="DS462" s="399"/>
      <c r="DT462" s="399"/>
      <c r="DU462" s="399"/>
      <c r="DV462" s="399">
        <v>22.421604845204762</v>
      </c>
      <c r="DW462" s="399">
        <v>0</v>
      </c>
      <c r="DX462" s="399">
        <v>0</v>
      </c>
      <c r="DY462" s="399">
        <v>-9.9946500000000036</v>
      </c>
      <c r="DZ462" s="399">
        <v>0</v>
      </c>
      <c r="EA462" s="399">
        <v>0</v>
      </c>
      <c r="EB462" s="399">
        <v>0</v>
      </c>
      <c r="EC462" s="399">
        <v>-9.6865679162569869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218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956</v>
      </c>
      <c r="C463" s="399" t="s">
        <v>2328</v>
      </c>
      <c r="D463" s="399" t="s">
        <v>2335</v>
      </c>
      <c r="E463" s="399" t="s">
        <v>894</v>
      </c>
      <c r="F463" s="399" t="s">
        <v>2342</v>
      </c>
      <c r="G463" s="399" t="s">
        <v>2340</v>
      </c>
      <c r="H463" s="399" t="s">
        <v>1239</v>
      </c>
      <c r="I463" s="399" t="s">
        <v>1239</v>
      </c>
      <c r="J463" s="399" t="s">
        <v>2329</v>
      </c>
      <c r="K463" s="789">
        <v>44682</v>
      </c>
      <c r="L463" s="399">
        <v>0</v>
      </c>
      <c r="M463" s="399">
        <v>0</v>
      </c>
      <c r="N463" s="399">
        <v>0</v>
      </c>
      <c r="O463" s="399">
        <v>0</v>
      </c>
      <c r="P463" s="399">
        <v>0</v>
      </c>
      <c r="Q463" s="399">
        <v>0</v>
      </c>
      <c r="R463" s="399"/>
      <c r="S463" s="399"/>
      <c r="T463" s="399"/>
      <c r="U463" s="399"/>
      <c r="V463" s="399"/>
      <c r="W463" s="399"/>
      <c r="X463" s="399"/>
      <c r="Y463" s="399"/>
      <c r="Z463" s="399"/>
      <c r="AA463" s="399">
        <v>0</v>
      </c>
      <c r="AB463" s="399"/>
      <c r="AC463" s="399"/>
      <c r="AD463" s="399"/>
      <c r="AE463" s="399"/>
      <c r="AF463" s="399"/>
      <c r="AG463" s="399"/>
      <c r="AH463" s="399"/>
      <c r="AI463" s="399"/>
      <c r="AJ463" s="399"/>
      <c r="AK463" s="399"/>
      <c r="AL463" s="399"/>
      <c r="AM463" s="399"/>
      <c r="AN463" s="399"/>
      <c r="AO463" s="399"/>
      <c r="AP463" s="399"/>
      <c r="AQ463" s="399"/>
      <c r="AR463" s="399"/>
      <c r="AS463" s="399"/>
      <c r="AT463" s="399"/>
      <c r="AU463" s="399"/>
      <c r="AV463" s="399"/>
      <c r="AW463" s="399"/>
      <c r="AX463" s="399"/>
      <c r="AY463" s="399"/>
      <c r="AZ463" s="399">
        <v>0</v>
      </c>
      <c r="BA463" s="399"/>
      <c r="BB463" s="399"/>
      <c r="BC463" s="399"/>
      <c r="BD463" s="399"/>
      <c r="BE463" s="399"/>
      <c r="BF463" s="399"/>
      <c r="BG463" s="399"/>
      <c r="BH463" s="399"/>
      <c r="BI463" s="399">
        <v>35.520000000000003</v>
      </c>
      <c r="BJ463" s="399">
        <v>164.24</v>
      </c>
      <c r="BK463" s="399">
        <v>1272.22</v>
      </c>
      <c r="BL463" s="399">
        <v>12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/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/>
      <c r="CJ463" s="399">
        <v>-0.03</v>
      </c>
      <c r="CK463" s="399"/>
      <c r="CL463" s="399"/>
      <c r="CM463" s="399"/>
      <c r="CN463" s="399"/>
      <c r="CO463" s="399">
        <v>0</v>
      </c>
      <c r="CP463" s="399">
        <v>0</v>
      </c>
      <c r="CQ463" s="399">
        <v>31</v>
      </c>
      <c r="CR463" s="399"/>
      <c r="CS463" s="399"/>
      <c r="CT463" s="399"/>
      <c r="CU463" s="399"/>
      <c r="CV463" s="399"/>
      <c r="CW463" s="399"/>
      <c r="CX463" s="399"/>
      <c r="CY463" s="399"/>
      <c r="CZ463" s="399"/>
      <c r="DA463" s="399"/>
      <c r="DB463" s="399"/>
      <c r="DC463" s="399"/>
      <c r="DD463" s="399"/>
      <c r="DE463" s="399"/>
      <c r="DF463" s="399"/>
      <c r="DG463" s="399"/>
      <c r="DH463" s="399"/>
      <c r="DI463" s="399"/>
      <c r="DJ463" s="399"/>
      <c r="DK463" s="399">
        <v>0</v>
      </c>
      <c r="DL463" s="399"/>
      <c r="DM463" s="399"/>
      <c r="DN463" s="399"/>
      <c r="DO463" s="399"/>
      <c r="DP463" s="399"/>
      <c r="DQ463" s="399"/>
      <c r="DR463" s="399"/>
      <c r="DS463" s="399"/>
      <c r="DT463" s="399"/>
      <c r="DU463" s="399"/>
      <c r="DV463" s="399"/>
      <c r="DW463" s="399"/>
      <c r="DX463" s="399"/>
      <c r="DY463" s="399"/>
      <c r="DZ463" s="399"/>
      <c r="EA463" s="399"/>
      <c r="EB463" s="399"/>
      <c r="EC463" s="399"/>
      <c r="ED463" s="399"/>
      <c r="EE463" s="399"/>
      <c r="EF463" s="399"/>
      <c r="EG463" s="399"/>
      <c r="EH463" s="399"/>
      <c r="EI463" s="399"/>
      <c r="EJ463" s="399"/>
      <c r="EK463" s="399"/>
      <c r="EL463" s="399"/>
      <c r="EM463" s="399"/>
      <c r="EN463" s="399"/>
      <c r="EO463" s="399"/>
      <c r="EP463" s="399"/>
      <c r="EQ463" s="399"/>
      <c r="ER463" s="399"/>
      <c r="ES463" s="399"/>
      <c r="ET463" s="399"/>
      <c r="EU463" s="399"/>
      <c r="EV463" s="399">
        <v>218</v>
      </c>
      <c r="EW463" s="399"/>
      <c r="EX463" s="399"/>
      <c r="EY463" s="399"/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2361</v>
      </c>
      <c r="C464" s="399" t="s">
        <v>2328</v>
      </c>
      <c r="D464" s="399" t="s">
        <v>2335</v>
      </c>
      <c r="E464" s="399" t="s">
        <v>894</v>
      </c>
      <c r="F464" s="399" t="s">
        <v>2342</v>
      </c>
      <c r="G464" s="399" t="s">
        <v>2340</v>
      </c>
      <c r="H464" s="399" t="s">
        <v>1239</v>
      </c>
      <c r="I464" s="399" t="s">
        <v>1239</v>
      </c>
      <c r="J464" s="399" t="s">
        <v>2329</v>
      </c>
      <c r="K464" s="789">
        <v>44682</v>
      </c>
      <c r="L464" s="399">
        <v>0</v>
      </c>
      <c r="M464" s="399">
        <v>0</v>
      </c>
      <c r="N464" s="399">
        <v>0</v>
      </c>
      <c r="O464" s="399">
        <v>0</v>
      </c>
      <c r="P464" s="399">
        <v>0</v>
      </c>
      <c r="Q464" s="399">
        <v>0</v>
      </c>
      <c r="R464" s="399"/>
      <c r="S464" s="399"/>
      <c r="T464" s="399"/>
      <c r="U464" s="399"/>
      <c r="V464" s="399"/>
      <c r="W464" s="399"/>
      <c r="X464" s="399"/>
      <c r="Y464" s="399"/>
      <c r="Z464" s="399"/>
      <c r="AA464" s="399">
        <v>0</v>
      </c>
      <c r="AB464" s="399"/>
      <c r="AC464" s="399"/>
      <c r="AD464" s="399"/>
      <c r="AE464" s="399"/>
      <c r="AF464" s="399"/>
      <c r="AG464" s="399"/>
      <c r="AH464" s="399"/>
      <c r="AI464" s="399"/>
      <c r="AJ464" s="399"/>
      <c r="AK464" s="399"/>
      <c r="AL464" s="399"/>
      <c r="AM464" s="399"/>
      <c r="AN464" s="399"/>
      <c r="AO464" s="399"/>
      <c r="AP464" s="399"/>
      <c r="AQ464" s="399"/>
      <c r="AR464" s="399"/>
      <c r="AS464" s="399"/>
      <c r="AT464" s="399"/>
      <c r="AU464" s="399"/>
      <c r="AV464" s="399"/>
      <c r="AW464" s="399"/>
      <c r="AX464" s="399"/>
      <c r="AY464" s="399"/>
      <c r="AZ464" s="399">
        <v>0</v>
      </c>
      <c r="BA464" s="399"/>
      <c r="BB464" s="399"/>
      <c r="BC464" s="399"/>
      <c r="BD464" s="399"/>
      <c r="BE464" s="399"/>
      <c r="BF464" s="399"/>
      <c r="BG464" s="399"/>
      <c r="BH464" s="399"/>
      <c r="BI464" s="399">
        <v>8.26</v>
      </c>
      <c r="BJ464" s="399">
        <v>38.229999999999997</v>
      </c>
      <c r="BK464" s="399">
        <v>223.18</v>
      </c>
      <c r="BL464" s="399">
        <v>4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/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/>
      <c r="CJ464" s="399">
        <v>-0.03</v>
      </c>
      <c r="CK464" s="399"/>
      <c r="CL464" s="399"/>
      <c r="CM464" s="399"/>
      <c r="CN464" s="399"/>
      <c r="CO464" s="399">
        <v>0</v>
      </c>
      <c r="CP464" s="399">
        <v>0</v>
      </c>
      <c r="CQ464" s="399">
        <v>31</v>
      </c>
      <c r="CR464" s="399"/>
      <c r="CS464" s="399"/>
      <c r="CT464" s="399"/>
      <c r="CU464" s="399"/>
      <c r="CV464" s="399"/>
      <c r="CW464" s="399"/>
      <c r="CX464" s="399"/>
      <c r="CY464" s="399"/>
      <c r="CZ464" s="399"/>
      <c r="DA464" s="399"/>
      <c r="DB464" s="399"/>
      <c r="DC464" s="399"/>
      <c r="DD464" s="399"/>
      <c r="DE464" s="399"/>
      <c r="DF464" s="399"/>
      <c r="DG464" s="399"/>
      <c r="DH464" s="399"/>
      <c r="DI464" s="399"/>
      <c r="DJ464" s="399"/>
      <c r="DK464" s="399">
        <v>0</v>
      </c>
      <c r="DL464" s="399"/>
      <c r="DM464" s="399"/>
      <c r="DN464" s="399"/>
      <c r="DO464" s="399"/>
      <c r="DP464" s="399"/>
      <c r="DQ464" s="399"/>
      <c r="DR464" s="399"/>
      <c r="DS464" s="399"/>
      <c r="DT464" s="399"/>
      <c r="DU464" s="399"/>
      <c r="DV464" s="399"/>
      <c r="DW464" s="399"/>
      <c r="DX464" s="399"/>
      <c r="DY464" s="399"/>
      <c r="DZ464" s="399"/>
      <c r="EA464" s="399"/>
      <c r="EB464" s="399"/>
      <c r="EC464" s="399"/>
      <c r="ED464" s="399"/>
      <c r="EE464" s="399"/>
      <c r="EF464" s="399"/>
      <c r="EG464" s="399"/>
      <c r="EH464" s="399"/>
      <c r="EI464" s="399"/>
      <c r="EJ464" s="399"/>
      <c r="EK464" s="399"/>
      <c r="EL464" s="399"/>
      <c r="EM464" s="399"/>
      <c r="EN464" s="399"/>
      <c r="EO464" s="399"/>
      <c r="EP464" s="399"/>
      <c r="EQ464" s="399"/>
      <c r="ER464" s="399"/>
      <c r="ES464" s="399"/>
      <c r="ET464" s="399"/>
      <c r="EU464" s="399"/>
      <c r="EV464" s="399">
        <v>218</v>
      </c>
      <c r="EW464" s="399"/>
      <c r="EX464" s="399"/>
      <c r="EY464" s="399"/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956</v>
      </c>
      <c r="C465" s="399" t="s">
        <v>2328</v>
      </c>
      <c r="D465" s="399" t="s">
        <v>2335</v>
      </c>
      <c r="E465" s="399" t="s">
        <v>894</v>
      </c>
      <c r="F465" s="399" t="s">
        <v>2342</v>
      </c>
      <c r="G465" s="399" t="s">
        <v>2340</v>
      </c>
      <c r="H465" s="399" t="s">
        <v>1239</v>
      </c>
      <c r="I465" s="399" t="s">
        <v>1239</v>
      </c>
      <c r="J465" s="399" t="s">
        <v>2329</v>
      </c>
      <c r="K465" s="789">
        <v>44682</v>
      </c>
      <c r="L465" s="399">
        <v>0</v>
      </c>
      <c r="M465" s="399">
        <v>0</v>
      </c>
      <c r="N465" s="399">
        <v>5.0679999999999996</v>
      </c>
      <c r="O465" s="399">
        <v>5.0679999999999996</v>
      </c>
      <c r="P465" s="399">
        <v>5.0679999999999996</v>
      </c>
      <c r="Q465" s="399">
        <v>5.0679999999999996</v>
      </c>
      <c r="R465" s="399"/>
      <c r="S465" s="399">
        <v>521.86</v>
      </c>
      <c r="T465" s="399">
        <v>141.32</v>
      </c>
      <c r="U465" s="399"/>
      <c r="V465" s="399">
        <v>3360.9962399999995</v>
      </c>
      <c r="W465" s="399">
        <v>3360.9962399999995</v>
      </c>
      <c r="X465" s="399">
        <v>2626.8964399999995</v>
      </c>
      <c r="Y465" s="399">
        <v>0</v>
      </c>
      <c r="Z465" s="399">
        <v>307.51125135717911</v>
      </c>
      <c r="AA465" s="399">
        <v>0</v>
      </c>
      <c r="AB465" s="399">
        <v>0</v>
      </c>
      <c r="AC465" s="399">
        <v>0</v>
      </c>
      <c r="AD465" s="399">
        <v>545.08266966745123</v>
      </c>
      <c r="AE465" s="399">
        <v>1646.8506283405466</v>
      </c>
      <c r="AF465" s="399">
        <v>716.20433740210501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47.547937224591514</v>
      </c>
      <c r="AM465" s="399"/>
      <c r="AN465" s="399">
        <v>7.0286403518550999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90.742023119731272</v>
      </c>
      <c r="BH465" s="399">
        <v>0</v>
      </c>
      <c r="BI465" s="399">
        <v>0</v>
      </c>
      <c r="BJ465" s="399">
        <v>0</v>
      </c>
      <c r="BK465" s="399">
        <v>0</v>
      </c>
      <c r="BL465" s="399">
        <v>0</v>
      </c>
      <c r="BM465" s="399"/>
      <c r="BN465" s="399"/>
      <c r="BO465" s="399"/>
      <c r="BP465" s="399"/>
      <c r="BQ465" s="399"/>
      <c r="BR465" s="399">
        <v>315.2296</v>
      </c>
      <c r="BS465" s="399"/>
      <c r="BT465" s="399"/>
      <c r="BU465" s="399"/>
      <c r="BV465" s="399">
        <v>806.94636052183625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2312.5790999999999</v>
      </c>
      <c r="CJ465" s="399">
        <v>-645.08502000000044</v>
      </c>
      <c r="CK465" s="399"/>
      <c r="CL465" s="399"/>
      <c r="CM465" s="399"/>
      <c r="CN465" s="399"/>
      <c r="CO465" s="399">
        <v>-734.09980000000007</v>
      </c>
      <c r="CP465" s="399">
        <v>0</v>
      </c>
      <c r="CQ465" s="399">
        <v>31</v>
      </c>
      <c r="CR465" s="399">
        <v>-22.581676936735221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-2.5960669487519681</v>
      </c>
      <c r="DA465" s="399">
        <v>0</v>
      </c>
      <c r="DB465" s="399">
        <v>0</v>
      </c>
      <c r="DC465" s="399">
        <v>0</v>
      </c>
      <c r="DD465" s="399">
        <v>0</v>
      </c>
      <c r="DE465" s="399">
        <v>0</v>
      </c>
      <c r="DF465" s="399">
        <v>0</v>
      </c>
      <c r="DG465" s="399">
        <v>0</v>
      </c>
      <c r="DH465" s="399">
        <v>0</v>
      </c>
      <c r="DI465" s="399">
        <v>-17.326309804110451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-2.3758849521320258</v>
      </c>
      <c r="DP465" s="399">
        <v>-0.28341523174075611</v>
      </c>
      <c r="DQ465" s="399">
        <v>0</v>
      </c>
      <c r="DR465" s="399">
        <v>0</v>
      </c>
      <c r="DS465" s="399"/>
      <c r="DT465" s="399"/>
      <c r="DU465" s="399"/>
      <c r="DV465" s="399">
        <v>1646.8506283405466</v>
      </c>
      <c r="DW465" s="399">
        <v>0</v>
      </c>
      <c r="DX465" s="399">
        <v>0</v>
      </c>
      <c r="DY465" s="399">
        <v>-734.09979999999996</v>
      </c>
      <c r="DZ465" s="399">
        <v>0</v>
      </c>
      <c r="EA465" s="399">
        <v>0</v>
      </c>
      <c r="EB465" s="399">
        <v>0</v>
      </c>
      <c r="EC465" s="399">
        <v>-711.47139419696225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218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2361</v>
      </c>
      <c r="C466" s="399" t="s">
        <v>2328</v>
      </c>
      <c r="D466" s="399" t="s">
        <v>2335</v>
      </c>
      <c r="E466" s="399" t="s">
        <v>894</v>
      </c>
      <c r="F466" s="399" t="s">
        <v>2342</v>
      </c>
      <c r="G466" s="399" t="s">
        <v>2340</v>
      </c>
      <c r="H466" s="399" t="s">
        <v>1239</v>
      </c>
      <c r="I466" s="399" t="s">
        <v>1239</v>
      </c>
      <c r="J466" s="399" t="s">
        <v>2329</v>
      </c>
      <c r="K466" s="789">
        <v>44682</v>
      </c>
      <c r="L466" s="399">
        <v>0</v>
      </c>
      <c r="M466" s="399">
        <v>0</v>
      </c>
      <c r="N466" s="399">
        <v>0.1</v>
      </c>
      <c r="O466" s="399">
        <v>0.1</v>
      </c>
      <c r="P466" s="399">
        <v>0.1</v>
      </c>
      <c r="Q466" s="399">
        <v>0.1</v>
      </c>
      <c r="R466" s="399"/>
      <c r="S466" s="399">
        <v>521.86</v>
      </c>
      <c r="T466" s="399">
        <v>141.32</v>
      </c>
      <c r="U466" s="399"/>
      <c r="V466" s="399">
        <v>66.318000000000012</v>
      </c>
      <c r="W466" s="399">
        <v>66.318000000000012</v>
      </c>
      <c r="X466" s="399">
        <v>51.832999999999998</v>
      </c>
      <c r="Y466" s="399">
        <v>0</v>
      </c>
      <c r="Z466" s="399">
        <v>6.0677042493523903</v>
      </c>
      <c r="AA466" s="399">
        <v>0</v>
      </c>
      <c r="AB466" s="399">
        <v>0</v>
      </c>
      <c r="AC466" s="399">
        <v>0</v>
      </c>
      <c r="AD466" s="399">
        <v>10.7553802223254</v>
      </c>
      <c r="AE466" s="399">
        <v>32.495079485804006</v>
      </c>
      <c r="AF466" s="399">
        <v>14.131893003198602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0.93819923489722812</v>
      </c>
      <c r="AM466" s="399"/>
      <c r="AN466" s="399">
        <v>0.13868666834757501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1.7904898010996702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>
        <v>6.2200000000000006</v>
      </c>
      <c r="BS466" s="399"/>
      <c r="BT466" s="399"/>
      <c r="BU466" s="399"/>
      <c r="BV466" s="399">
        <v>15.922382804298273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45.613</v>
      </c>
      <c r="CJ466" s="399">
        <v>-12.775999999999996</v>
      </c>
      <c r="CK466" s="399"/>
      <c r="CL466" s="399"/>
      <c r="CM466" s="399"/>
      <c r="CN466" s="399"/>
      <c r="CO466" s="399">
        <v>-14.485000000000003</v>
      </c>
      <c r="CP466" s="399">
        <v>0</v>
      </c>
      <c r="CQ466" s="399">
        <v>31</v>
      </c>
      <c r="CR466" s="399">
        <v>-0.44557373592610361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-5.1224683282399042E-2</v>
      </c>
      <c r="DA466" s="399">
        <v>0</v>
      </c>
      <c r="DB466" s="399">
        <v>0</v>
      </c>
      <c r="DC466" s="399">
        <v>0</v>
      </c>
      <c r="DD466" s="399">
        <v>0</v>
      </c>
      <c r="DE466" s="399">
        <v>0</v>
      </c>
      <c r="DF466" s="399">
        <v>0</v>
      </c>
      <c r="DG466" s="399">
        <v>0</v>
      </c>
      <c r="DH466" s="399">
        <v>0</v>
      </c>
      <c r="DI466" s="399">
        <v>-0.34187667332498961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-4.6880129284373018E-2</v>
      </c>
      <c r="DP466" s="399">
        <v>-5.5922500343480175E-3</v>
      </c>
      <c r="DQ466" s="399">
        <v>0</v>
      </c>
      <c r="DR466" s="399">
        <v>0</v>
      </c>
      <c r="DS466" s="399"/>
      <c r="DT466" s="399"/>
      <c r="DU466" s="399"/>
      <c r="DV466" s="399">
        <v>32.495079485804006</v>
      </c>
      <c r="DW466" s="399">
        <v>0</v>
      </c>
      <c r="DX466" s="399">
        <v>0</v>
      </c>
      <c r="DY466" s="399">
        <v>-14.485000000000007</v>
      </c>
      <c r="DZ466" s="399">
        <v>0</v>
      </c>
      <c r="EA466" s="399">
        <v>0</v>
      </c>
      <c r="EB466" s="399">
        <v>0</v>
      </c>
      <c r="EC466" s="399">
        <v>-14.038504226459406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218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956</v>
      </c>
      <c r="C467" s="399" t="s">
        <v>2328</v>
      </c>
      <c r="D467" s="399" t="s">
        <v>2335</v>
      </c>
      <c r="E467" s="399" t="s">
        <v>894</v>
      </c>
      <c r="F467" s="399" t="s">
        <v>2342</v>
      </c>
      <c r="G467" s="399" t="s">
        <v>2341</v>
      </c>
      <c r="H467" s="399" t="s">
        <v>1239</v>
      </c>
      <c r="I467" s="399" t="s">
        <v>1239</v>
      </c>
      <c r="J467" s="399" t="s">
        <v>2329</v>
      </c>
      <c r="K467" s="789">
        <v>44682</v>
      </c>
      <c r="L467" s="399">
        <v>0</v>
      </c>
      <c r="M467" s="399">
        <v>0</v>
      </c>
      <c r="N467" s="399">
        <v>5.1079999999999997</v>
      </c>
      <c r="O467" s="399">
        <v>2.0432000000000001</v>
      </c>
      <c r="P467" s="399">
        <v>5.1079999999999997</v>
      </c>
      <c r="Q467" s="399">
        <v>2.0432000000000001</v>
      </c>
      <c r="R467" s="399"/>
      <c r="S467" s="399">
        <v>521.86</v>
      </c>
      <c r="T467" s="399">
        <v>141.32</v>
      </c>
      <c r="U467" s="399"/>
      <c r="V467" s="399">
        <v>3387.5234399999999</v>
      </c>
      <c r="W467" s="399">
        <v>3387.5234399999999</v>
      </c>
      <c r="X467" s="399">
        <v>2647.6296399999997</v>
      </c>
      <c r="Y467" s="399">
        <v>0</v>
      </c>
      <c r="Z467" s="399">
        <v>309.93833305692004</v>
      </c>
      <c r="AA467" s="399">
        <v>0</v>
      </c>
      <c r="AB467" s="399">
        <v>0</v>
      </c>
      <c r="AC467" s="399">
        <v>0</v>
      </c>
      <c r="AD467" s="399">
        <v>549.38482175638137</v>
      </c>
      <c r="AE467" s="399">
        <v>1659.8486601348682</v>
      </c>
      <c r="AF467" s="399">
        <v>721.85709460338455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47.923216918550409</v>
      </c>
      <c r="AM467" s="399"/>
      <c r="AN467" s="399">
        <v>7.0841150191941304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91.45821904017113</v>
      </c>
      <c r="BH467" s="399">
        <v>0</v>
      </c>
      <c r="BI467" s="399">
        <v>0</v>
      </c>
      <c r="BJ467" s="399">
        <v>0</v>
      </c>
      <c r="BK467" s="399">
        <v>0</v>
      </c>
      <c r="BL467" s="399">
        <v>0</v>
      </c>
      <c r="BM467" s="399"/>
      <c r="BN467" s="399"/>
      <c r="BO467" s="399"/>
      <c r="BP467" s="399"/>
      <c r="BQ467" s="399"/>
      <c r="BR467" s="399"/>
      <c r="BS467" s="399">
        <v>1715.6648239999997</v>
      </c>
      <c r="BT467" s="399"/>
      <c r="BU467" s="399"/>
      <c r="BV467" s="399">
        <v>813.31531364355567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930.50519999999995</v>
      </c>
      <c r="CJ467" s="399">
        <v>-261.91588800000011</v>
      </c>
      <c r="CK467" s="399"/>
      <c r="CL467" s="399"/>
      <c r="CM467" s="399"/>
      <c r="CN467" s="399"/>
      <c r="CO467" s="399">
        <v>-739.89380000000006</v>
      </c>
      <c r="CP467" s="399">
        <v>0</v>
      </c>
      <c r="CQ467" s="399">
        <v>31</v>
      </c>
      <c r="CR467" s="399">
        <v>-22.759906431105719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-2.616556822064922</v>
      </c>
      <c r="DA467" s="399">
        <v>0</v>
      </c>
      <c r="DB467" s="399">
        <v>0</v>
      </c>
      <c r="DC467" s="399">
        <v>0</v>
      </c>
      <c r="DD467" s="399">
        <v>0</v>
      </c>
      <c r="DE467" s="399">
        <v>0</v>
      </c>
      <c r="DF467" s="399">
        <v>0</v>
      </c>
      <c r="DG467" s="399">
        <v>0</v>
      </c>
      <c r="DH467" s="399">
        <v>0</v>
      </c>
      <c r="DI467" s="399">
        <v>-17.463060473440464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-2.39463700384578</v>
      </c>
      <c r="DP467" s="399">
        <v>-0.285652131754496</v>
      </c>
      <c r="DQ467" s="399">
        <v>0</v>
      </c>
      <c r="DR467" s="399">
        <v>0</v>
      </c>
      <c r="DS467" s="399"/>
      <c r="DT467" s="399"/>
      <c r="DU467" s="399"/>
      <c r="DV467" s="399">
        <v>1659.8486601348682</v>
      </c>
      <c r="DW467" s="399">
        <v>0</v>
      </c>
      <c r="DX467" s="399">
        <v>0</v>
      </c>
      <c r="DY467" s="399">
        <v>-739.89380000000006</v>
      </c>
      <c r="DZ467" s="399">
        <v>0</v>
      </c>
      <c r="EA467" s="399">
        <v>0</v>
      </c>
      <c r="EB467" s="399">
        <v>0</v>
      </c>
      <c r="EC467" s="399">
        <v>-717.08679588754603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218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2361</v>
      </c>
      <c r="C468" s="399" t="s">
        <v>2328</v>
      </c>
      <c r="D468" s="399" t="s">
        <v>2335</v>
      </c>
      <c r="E468" s="399" t="s">
        <v>894</v>
      </c>
      <c r="F468" s="399" t="s">
        <v>2342</v>
      </c>
      <c r="G468" s="399" t="s">
        <v>2341</v>
      </c>
      <c r="H468" s="399" t="s">
        <v>1239</v>
      </c>
      <c r="I468" s="399" t="s">
        <v>1239</v>
      </c>
      <c r="J468" s="399" t="s">
        <v>2329</v>
      </c>
      <c r="K468" s="789">
        <v>44682</v>
      </c>
      <c r="L468" s="399">
        <v>0</v>
      </c>
      <c r="M468" s="399">
        <v>0</v>
      </c>
      <c r="N468" s="399">
        <v>1.173</v>
      </c>
      <c r="O468" s="399">
        <v>0.46920000000000001</v>
      </c>
      <c r="P468" s="399">
        <v>1.173</v>
      </c>
      <c r="Q468" s="399">
        <v>0.46920000000000001</v>
      </c>
      <c r="R468" s="399"/>
      <c r="S468" s="399">
        <v>521.86</v>
      </c>
      <c r="T468" s="399">
        <v>141.32</v>
      </c>
      <c r="U468" s="399"/>
      <c r="V468" s="399">
        <v>777.91014000000007</v>
      </c>
      <c r="W468" s="399">
        <v>777.91014000000007</v>
      </c>
      <c r="X468" s="399">
        <v>608.00108999999998</v>
      </c>
      <c r="Y468" s="399">
        <v>0</v>
      </c>
      <c r="Z468" s="399">
        <v>71.174170844903543</v>
      </c>
      <c r="AA468" s="399">
        <v>0</v>
      </c>
      <c r="AB468" s="399">
        <v>0</v>
      </c>
      <c r="AC468" s="399">
        <v>0</v>
      </c>
      <c r="AD468" s="399">
        <v>126.16061000787694</v>
      </c>
      <c r="AE468" s="399">
        <v>381.16728236848093</v>
      </c>
      <c r="AF468" s="399">
        <v>165.7671049275196</v>
      </c>
      <c r="AG468" s="399">
        <v>0</v>
      </c>
      <c r="AH468" s="399">
        <v>0</v>
      </c>
      <c r="AI468" s="399">
        <v>0</v>
      </c>
      <c r="AJ468" s="399">
        <v>0</v>
      </c>
      <c r="AK468" s="399">
        <v>0</v>
      </c>
      <c r="AL468" s="399">
        <v>11.005077025344486</v>
      </c>
      <c r="AM468" s="399"/>
      <c r="AN468" s="399">
        <v>1.6267946197170546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21.002445366899131</v>
      </c>
      <c r="BH468" s="399">
        <v>0</v>
      </c>
      <c r="BI468" s="399">
        <v>0</v>
      </c>
      <c r="BJ468" s="399">
        <v>0</v>
      </c>
      <c r="BK468" s="399">
        <v>0</v>
      </c>
      <c r="BL468" s="399">
        <v>0</v>
      </c>
      <c r="BM468" s="399"/>
      <c r="BN468" s="399"/>
      <c r="BO468" s="399"/>
      <c r="BP468" s="399"/>
      <c r="BQ468" s="399"/>
      <c r="BR468" s="399"/>
      <c r="BS468" s="399">
        <v>393.984894</v>
      </c>
      <c r="BT468" s="399"/>
      <c r="BU468" s="399"/>
      <c r="BV468" s="399">
        <v>186.76955029441874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214.38109999999998</v>
      </c>
      <c r="CJ468" s="399">
        <v>-59.46932799999999</v>
      </c>
      <c r="CK468" s="399"/>
      <c r="CL468" s="399"/>
      <c r="CM468" s="399"/>
      <c r="CN468" s="399"/>
      <c r="CO468" s="399">
        <v>-169.90905000000004</v>
      </c>
      <c r="CP468" s="399">
        <v>0</v>
      </c>
      <c r="CQ468" s="399">
        <v>31</v>
      </c>
      <c r="CR468" s="399">
        <v>-5.2265799224131797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-0.60086553490253891</v>
      </c>
      <c r="DA468" s="399">
        <v>0</v>
      </c>
      <c r="DB468" s="399">
        <v>0</v>
      </c>
      <c r="DC468" s="399">
        <v>0</v>
      </c>
      <c r="DD468" s="399">
        <v>0</v>
      </c>
      <c r="DE468" s="399">
        <v>0</v>
      </c>
      <c r="DF468" s="399">
        <v>0</v>
      </c>
      <c r="DG468" s="399">
        <v>0</v>
      </c>
      <c r="DH468" s="399">
        <v>0</v>
      </c>
      <c r="DI468" s="399">
        <v>-4.0102133781021365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-0.5499039165056967</v>
      </c>
      <c r="DP468" s="399">
        <v>-6.5597092902901943E-2</v>
      </c>
      <c r="DQ468" s="399">
        <v>0</v>
      </c>
      <c r="DR468" s="399">
        <v>0</v>
      </c>
      <c r="DS468" s="399"/>
      <c r="DT468" s="399"/>
      <c r="DU468" s="399"/>
      <c r="DV468" s="399">
        <v>381.16728236848093</v>
      </c>
      <c r="DW468" s="399">
        <v>0</v>
      </c>
      <c r="DX468" s="399">
        <v>0</v>
      </c>
      <c r="DY468" s="399">
        <v>-169.90905000000004</v>
      </c>
      <c r="DZ468" s="399">
        <v>0</v>
      </c>
      <c r="EA468" s="399">
        <v>0</v>
      </c>
      <c r="EB468" s="399">
        <v>0</v>
      </c>
      <c r="EC468" s="399">
        <v>-164.67165457636875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218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956</v>
      </c>
      <c r="C469" s="399" t="s">
        <v>2328</v>
      </c>
      <c r="D469" s="399" t="s">
        <v>1823</v>
      </c>
      <c r="E469" s="399" t="s">
        <v>889</v>
      </c>
      <c r="F469" s="399" t="s">
        <v>889</v>
      </c>
      <c r="G469" s="399" t="s">
        <v>1239</v>
      </c>
      <c r="H469" s="399" t="s">
        <v>1239</v>
      </c>
      <c r="I469" s="399" t="s">
        <v>1239</v>
      </c>
      <c r="J469" s="399" t="s">
        <v>2329</v>
      </c>
      <c r="K469" s="789">
        <v>44713</v>
      </c>
      <c r="L469" s="399">
        <v>0</v>
      </c>
      <c r="M469" s="399">
        <v>0</v>
      </c>
      <c r="N469" s="399">
        <v>956.46100000000001</v>
      </c>
      <c r="O469" s="399">
        <v>956.46100000000001</v>
      </c>
      <c r="P469" s="399">
        <v>956.46100000000001</v>
      </c>
      <c r="Q469" s="399">
        <v>956.46100000000001</v>
      </c>
      <c r="R469" s="399"/>
      <c r="S469" s="399">
        <v>521.86</v>
      </c>
      <c r="T469" s="399">
        <v>141.32</v>
      </c>
      <c r="U469" s="399"/>
      <c r="V469" s="399">
        <v>634305.80598000006</v>
      </c>
      <c r="W469" s="399">
        <v>634305.80598000006</v>
      </c>
      <c r="X469" s="399">
        <v>495762.43012999999</v>
      </c>
      <c r="Y469" s="399">
        <v>0</v>
      </c>
      <c r="Z469" s="399">
        <v>58035.224740398364</v>
      </c>
      <c r="AA469" s="399">
        <v>0</v>
      </c>
      <c r="AB469" s="399">
        <v>0</v>
      </c>
      <c r="AC469" s="399">
        <v>0</v>
      </c>
      <c r="AD469" s="399">
        <v>102871.01722825575</v>
      </c>
      <c r="AE469" s="399">
        <v>310802.76220071584</v>
      </c>
      <c r="AF469" s="399">
        <v>135166.04513732338</v>
      </c>
      <c r="AG469" s="399">
        <v>0</v>
      </c>
      <c r="AH469" s="399">
        <v>0</v>
      </c>
      <c r="AI469" s="399">
        <v>0</v>
      </c>
      <c r="AJ469" s="399">
        <v>0</v>
      </c>
      <c r="AK469" s="399">
        <v>0</v>
      </c>
      <c r="AL469" s="399">
        <v>8973.5097840903763</v>
      </c>
      <c r="AM469" s="399"/>
      <c r="AN469" s="399">
        <v>1326.4838949438993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17125.336656495914</v>
      </c>
      <c r="BH469" s="399">
        <v>0</v>
      </c>
      <c r="BI469" s="399">
        <v>3319.58</v>
      </c>
      <c r="BJ469" s="399">
        <v>15433.45</v>
      </c>
      <c r="BK469" s="399">
        <v>109121.2</v>
      </c>
      <c r="BL469" s="399">
        <v>4835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152291.38179381931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495761.9118</v>
      </c>
      <c r="CJ469" s="399">
        <v>-138543.92418000009</v>
      </c>
      <c r="CK469" s="399"/>
      <c r="CL469" s="399"/>
      <c r="CM469" s="399"/>
      <c r="CN469" s="399"/>
      <c r="CO469" s="399">
        <v>-138543.37585000001</v>
      </c>
      <c r="CP469" s="399">
        <v>0</v>
      </c>
      <c r="CQ469" s="399">
        <v>30</v>
      </c>
      <c r="CR469" s="399">
        <v>-4261.7390103762154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-489.94411796967324</v>
      </c>
      <c r="DA469" s="399">
        <v>0</v>
      </c>
      <c r="DB469" s="399">
        <v>0</v>
      </c>
      <c r="DC469" s="399">
        <v>0</v>
      </c>
      <c r="DD469" s="399">
        <v>0</v>
      </c>
      <c r="DE469" s="399">
        <v>0</v>
      </c>
      <c r="DF469" s="399">
        <v>0</v>
      </c>
      <c r="DG469" s="399">
        <v>0</v>
      </c>
      <c r="DH469" s="399">
        <v>0</v>
      </c>
      <c r="DI469" s="399">
        <v>-3269.9170484509305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-448.39015335460681</v>
      </c>
      <c r="DP469" s="399">
        <v>-53.487690601025179</v>
      </c>
      <c r="DQ469" s="399">
        <v>0</v>
      </c>
      <c r="DR469" s="399">
        <v>0</v>
      </c>
      <c r="DS469" s="399"/>
      <c r="DT469" s="399"/>
      <c r="DU469" s="399"/>
      <c r="DV469" s="399">
        <v>310802.76220071584</v>
      </c>
      <c r="DW469" s="399">
        <v>0</v>
      </c>
      <c r="DX469" s="399">
        <v>0</v>
      </c>
      <c r="DY469" s="399">
        <v>-138543.37585000001</v>
      </c>
      <c r="DZ469" s="399">
        <v>0</v>
      </c>
      <c r="EA469" s="399">
        <v>0</v>
      </c>
      <c r="EB469" s="399">
        <v>0</v>
      </c>
      <c r="EC469" s="399">
        <v>-134272.81790943586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0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218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2360</v>
      </c>
      <c r="C470" s="399" t="s">
        <v>2328</v>
      </c>
      <c r="D470" s="399" t="s">
        <v>1823</v>
      </c>
      <c r="E470" s="399" t="s">
        <v>889</v>
      </c>
      <c r="F470" s="399" t="s">
        <v>889</v>
      </c>
      <c r="G470" s="399" t="s">
        <v>1239</v>
      </c>
      <c r="H470" s="399" t="s">
        <v>1239</v>
      </c>
      <c r="I470" s="399" t="s">
        <v>1239</v>
      </c>
      <c r="J470" s="399" t="s">
        <v>2329</v>
      </c>
      <c r="K470" s="789">
        <v>44713</v>
      </c>
      <c r="L470" s="399">
        <v>0</v>
      </c>
      <c r="M470" s="399">
        <v>0</v>
      </c>
      <c r="N470" s="399">
        <v>0.59099999999999997</v>
      </c>
      <c r="O470" s="399">
        <v>0.59099999999999997</v>
      </c>
      <c r="P470" s="399">
        <v>0.59099999999999997</v>
      </c>
      <c r="Q470" s="399">
        <v>0.59099999999999997</v>
      </c>
      <c r="R470" s="399"/>
      <c r="S470" s="399">
        <v>521.86</v>
      </c>
      <c r="T470" s="399">
        <v>141.32</v>
      </c>
      <c r="U470" s="399"/>
      <c r="V470" s="399">
        <v>391.93938000000003</v>
      </c>
      <c r="W470" s="399">
        <v>391.93938000000003</v>
      </c>
      <c r="X470" s="399">
        <v>306.33303000000001</v>
      </c>
      <c r="Y470" s="399">
        <v>0</v>
      </c>
      <c r="Z470" s="399">
        <v>35.86013211367262</v>
      </c>
      <c r="AA470" s="399">
        <v>0</v>
      </c>
      <c r="AB470" s="399">
        <v>0</v>
      </c>
      <c r="AC470" s="399">
        <v>0</v>
      </c>
      <c r="AD470" s="399">
        <v>63.564297113943105</v>
      </c>
      <c r="AE470" s="399">
        <v>192.04591976110163</v>
      </c>
      <c r="AF470" s="399">
        <v>83.519487648903734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5.5447574782426177</v>
      </c>
      <c r="AM470" s="399"/>
      <c r="AN470" s="399">
        <v>0.81963820993416814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10.58179472449905</v>
      </c>
      <c r="BH470" s="399">
        <v>0</v>
      </c>
      <c r="BI470" s="399">
        <v>2.63</v>
      </c>
      <c r="BJ470" s="399">
        <v>12.17</v>
      </c>
      <c r="BK470" s="399">
        <v>111.53</v>
      </c>
      <c r="BL470" s="399">
        <v>0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94.101282373402782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305.81469999999996</v>
      </c>
      <c r="CJ470" s="399">
        <v>-86.154680000000042</v>
      </c>
      <c r="CK470" s="399"/>
      <c r="CL470" s="399"/>
      <c r="CM470" s="399"/>
      <c r="CN470" s="399"/>
      <c r="CO470" s="399">
        <v>-85.606350000000006</v>
      </c>
      <c r="CP470" s="399">
        <v>0</v>
      </c>
      <c r="CQ470" s="399">
        <v>30</v>
      </c>
      <c r="CR470" s="399">
        <v>-2.633340779323305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-0.30273787819897535</v>
      </c>
      <c r="DA470" s="399">
        <v>0</v>
      </c>
      <c r="DB470" s="399">
        <v>0</v>
      </c>
      <c r="DC470" s="399">
        <v>0</v>
      </c>
      <c r="DD470" s="399">
        <v>0</v>
      </c>
      <c r="DE470" s="399">
        <v>0</v>
      </c>
      <c r="DF470" s="399">
        <v>0</v>
      </c>
      <c r="DG470" s="399">
        <v>0</v>
      </c>
      <c r="DH470" s="399">
        <v>0</v>
      </c>
      <c r="DI470" s="399">
        <v>-2.020491139350689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-0.27706156407064508</v>
      </c>
      <c r="DP470" s="399">
        <v>-3.3050197702996664E-2</v>
      </c>
      <c r="DQ470" s="399">
        <v>0</v>
      </c>
      <c r="DR470" s="399">
        <v>0</v>
      </c>
      <c r="DS470" s="399"/>
      <c r="DT470" s="399"/>
      <c r="DU470" s="399"/>
      <c r="DV470" s="399">
        <v>192.04591976110163</v>
      </c>
      <c r="DW470" s="399">
        <v>0</v>
      </c>
      <c r="DX470" s="399">
        <v>0</v>
      </c>
      <c r="DY470" s="399">
        <v>-85.60635000000002</v>
      </c>
      <c r="DZ470" s="399">
        <v>0</v>
      </c>
      <c r="EA470" s="399">
        <v>0</v>
      </c>
      <c r="EB470" s="399">
        <v>0</v>
      </c>
      <c r="EC470" s="399">
        <v>-82.96755997837505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218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2361</v>
      </c>
      <c r="C471" s="399" t="s">
        <v>2328</v>
      </c>
      <c r="D471" s="399" t="s">
        <v>1823</v>
      </c>
      <c r="E471" s="399" t="s">
        <v>889</v>
      </c>
      <c r="F471" s="399" t="s">
        <v>889</v>
      </c>
      <c r="G471" s="399" t="s">
        <v>1239</v>
      </c>
      <c r="H471" s="399" t="s">
        <v>1239</v>
      </c>
      <c r="I471" s="399" t="s">
        <v>1239</v>
      </c>
      <c r="J471" s="399" t="s">
        <v>2329</v>
      </c>
      <c r="K471" s="789">
        <v>44713</v>
      </c>
      <c r="L471" s="399">
        <v>0</v>
      </c>
      <c r="M471" s="399">
        <v>0</v>
      </c>
      <c r="N471" s="399">
        <v>20.507999999999999</v>
      </c>
      <c r="O471" s="399">
        <v>20.507999999999999</v>
      </c>
      <c r="P471" s="399">
        <v>20.507999999999999</v>
      </c>
      <c r="Q471" s="399">
        <v>20.507999999999999</v>
      </c>
      <c r="R471" s="399"/>
      <c r="S471" s="399">
        <v>521.86</v>
      </c>
      <c r="T471" s="399">
        <v>141.32</v>
      </c>
      <c r="U471" s="399"/>
      <c r="V471" s="399">
        <v>13600.495439999999</v>
      </c>
      <c r="W471" s="399">
        <v>13600.495439999999</v>
      </c>
      <c r="X471" s="399">
        <v>10629.911639999998</v>
      </c>
      <c r="Y471" s="399">
        <v>0</v>
      </c>
      <c r="Z471" s="399">
        <v>1244.364787457188</v>
      </c>
      <c r="AA471" s="399">
        <v>0</v>
      </c>
      <c r="AB471" s="399">
        <v>0</v>
      </c>
      <c r="AC471" s="399">
        <v>0</v>
      </c>
      <c r="AD471" s="399">
        <v>2205.7133759944927</v>
      </c>
      <c r="AE471" s="399">
        <v>6664.0909009486841</v>
      </c>
      <c r="AF471" s="399">
        <v>2898.1686170959692</v>
      </c>
      <c r="AG471" s="399">
        <v>0</v>
      </c>
      <c r="AH471" s="399">
        <v>0</v>
      </c>
      <c r="AI471" s="399">
        <v>0</v>
      </c>
      <c r="AJ471" s="399">
        <v>0</v>
      </c>
      <c r="AK471" s="399">
        <v>0</v>
      </c>
      <c r="AL471" s="399">
        <v>192.40589909272353</v>
      </c>
      <c r="AM471" s="399"/>
      <c r="AN471" s="399">
        <v>28.441861944720678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367.19364840952028</v>
      </c>
      <c r="BH471" s="399">
        <v>0</v>
      </c>
      <c r="BI471" s="399">
        <v>71</v>
      </c>
      <c r="BJ471" s="399">
        <v>331.06</v>
      </c>
      <c r="BK471" s="399">
        <v>6206.67</v>
      </c>
      <c r="BL471" s="399">
        <v>123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3265.3622655054896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10630.9483</v>
      </c>
      <c r="CJ471" s="399">
        <v>-2969.5771399999994</v>
      </c>
      <c r="CK471" s="399"/>
      <c r="CL471" s="399"/>
      <c r="CM471" s="399"/>
      <c r="CN471" s="399"/>
      <c r="CO471" s="399">
        <v>-2970.5838000000003</v>
      </c>
      <c r="CP471" s="399">
        <v>0</v>
      </c>
      <c r="CQ471" s="399">
        <v>30</v>
      </c>
      <c r="CR471" s="399">
        <v>-91.378261763727096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-10.505158047554232</v>
      </c>
      <c r="DA471" s="399">
        <v>0</v>
      </c>
      <c r="DB471" s="399">
        <v>0</v>
      </c>
      <c r="DC471" s="399">
        <v>0</v>
      </c>
      <c r="DD471" s="399">
        <v>0</v>
      </c>
      <c r="DE471" s="399">
        <v>0</v>
      </c>
      <c r="DF471" s="399">
        <v>0</v>
      </c>
      <c r="DG471" s="399">
        <v>0</v>
      </c>
      <c r="DH471" s="399">
        <v>0</v>
      </c>
      <c r="DI471" s="399">
        <v>-70.112068165488836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-9.614176913639227</v>
      </c>
      <c r="DP471" s="399">
        <v>-1.1468586370440867</v>
      </c>
      <c r="DQ471" s="399">
        <v>0</v>
      </c>
      <c r="DR471" s="399">
        <v>0</v>
      </c>
      <c r="DS471" s="399"/>
      <c r="DT471" s="399"/>
      <c r="DU471" s="399"/>
      <c r="DV471" s="399">
        <v>6664.0909009486841</v>
      </c>
      <c r="DW471" s="399">
        <v>0</v>
      </c>
      <c r="DX471" s="399">
        <v>0</v>
      </c>
      <c r="DY471" s="399">
        <v>-2970.5838000000003</v>
      </c>
      <c r="DZ471" s="399">
        <v>0</v>
      </c>
      <c r="EA471" s="399">
        <v>0</v>
      </c>
      <c r="EB471" s="399">
        <v>0</v>
      </c>
      <c r="EC471" s="399">
        <v>-2879.0164467622935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0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218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956</v>
      </c>
      <c r="C472" s="399" t="s">
        <v>2328</v>
      </c>
      <c r="D472" s="399" t="s">
        <v>1823</v>
      </c>
      <c r="E472" s="399" t="s">
        <v>889</v>
      </c>
      <c r="F472" s="399" t="s">
        <v>2330</v>
      </c>
      <c r="G472" s="399" t="s">
        <v>1239</v>
      </c>
      <c r="H472" s="399" t="s">
        <v>1239</v>
      </c>
      <c r="I472" s="399" t="s">
        <v>1239</v>
      </c>
      <c r="J472" s="399" t="s">
        <v>2329</v>
      </c>
      <c r="K472" s="789">
        <v>44713</v>
      </c>
      <c r="L472" s="399">
        <v>0</v>
      </c>
      <c r="M472" s="399">
        <v>0</v>
      </c>
      <c r="N472" s="399">
        <v>4.2</v>
      </c>
      <c r="O472" s="399">
        <v>4.2</v>
      </c>
      <c r="P472" s="399">
        <v>4.2</v>
      </c>
      <c r="Q472" s="399">
        <v>4.2</v>
      </c>
      <c r="R472" s="399"/>
      <c r="S472" s="399">
        <v>451.8</v>
      </c>
      <c r="T472" s="399">
        <v>141.32</v>
      </c>
      <c r="U472" s="399"/>
      <c r="V472" s="399">
        <v>2491.1040000000003</v>
      </c>
      <c r="W472" s="399">
        <v>2491.1040000000003</v>
      </c>
      <c r="X472" s="399">
        <v>1899.0720000000001</v>
      </c>
      <c r="Y472" s="399">
        <v>0</v>
      </c>
      <c r="Z472" s="399">
        <v>0</v>
      </c>
      <c r="AA472" s="399">
        <v>0</v>
      </c>
      <c r="AB472" s="399">
        <v>0</v>
      </c>
      <c r="AC472" s="399">
        <v>0</v>
      </c>
      <c r="AD472" s="399">
        <v>451.72596933766681</v>
      </c>
      <c r="AE472" s="399">
        <v>1364.7933384037681</v>
      </c>
      <c r="AF472" s="399">
        <v>593.53950613434131</v>
      </c>
      <c r="AG472" s="399">
        <v>0</v>
      </c>
      <c r="AH472" s="399">
        <v>0</v>
      </c>
      <c r="AI472" s="399">
        <v>0</v>
      </c>
      <c r="AJ472" s="399">
        <v>0</v>
      </c>
      <c r="AK472" s="399">
        <v>0</v>
      </c>
      <c r="AL472" s="399">
        <v>0</v>
      </c>
      <c r="AM472" s="399"/>
      <c r="AN472" s="399">
        <v>5.8248400705981496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75.200571646186148</v>
      </c>
      <c r="BH472" s="399">
        <v>0</v>
      </c>
      <c r="BI472" s="399">
        <v>14.02</v>
      </c>
      <c r="BJ472" s="399">
        <v>67.2</v>
      </c>
      <c r="BK472" s="399">
        <v>100.82</v>
      </c>
      <c r="BL472" s="399">
        <v>4</v>
      </c>
      <c r="BM472" s="399"/>
      <c r="BN472" s="399"/>
      <c r="BO472" s="399"/>
      <c r="BP472" s="399"/>
      <c r="BQ472" s="399"/>
      <c r="BR472" s="399"/>
      <c r="BS472" s="399"/>
      <c r="BT472" s="399">
        <v>1234.3799999999999</v>
      </c>
      <c r="BU472" s="399"/>
      <c r="BV472" s="399">
        <v>668.74007778052749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664.69200000000001</v>
      </c>
      <c r="CJ472" s="399">
        <v>-207.21599999999989</v>
      </c>
      <c r="CK472" s="399"/>
      <c r="CL472" s="399"/>
      <c r="CM472" s="399"/>
      <c r="CN472" s="399"/>
      <c r="CO472" s="399">
        <v>-592.03200000000015</v>
      </c>
      <c r="CP472" s="399">
        <v>0</v>
      </c>
      <c r="CQ472" s="399">
        <v>30</v>
      </c>
      <c r="CR472" s="399">
        <v>-2.3863111993032362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-2.1514366978607882</v>
      </c>
      <c r="DA472" s="399">
        <v>0</v>
      </c>
      <c r="DB472" s="399">
        <v>0</v>
      </c>
      <c r="DC472" s="399">
        <v>0</v>
      </c>
      <c r="DD472" s="399">
        <v>0</v>
      </c>
      <c r="DE472" s="399">
        <v>0</v>
      </c>
      <c r="DF472" s="399">
        <v>0</v>
      </c>
      <c r="DG472" s="399">
        <v>0</v>
      </c>
      <c r="DH472" s="399">
        <v>0</v>
      </c>
      <c r="DI472" s="399">
        <v>0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0</v>
      </c>
      <c r="DP472" s="399">
        <v>-0.2348745014426159</v>
      </c>
      <c r="DQ472" s="399">
        <v>0</v>
      </c>
      <c r="DR472" s="399">
        <v>0</v>
      </c>
      <c r="DS472" s="399"/>
      <c r="DT472" s="399"/>
      <c r="DU472" s="399"/>
      <c r="DV472" s="399">
        <v>1364.7933384037681</v>
      </c>
      <c r="DW472" s="399">
        <v>0</v>
      </c>
      <c r="DX472" s="399">
        <v>0</v>
      </c>
      <c r="DY472" s="399">
        <v>-592.03200000000015</v>
      </c>
      <c r="DZ472" s="399">
        <v>0</v>
      </c>
      <c r="EA472" s="399">
        <v>0</v>
      </c>
      <c r="EB472" s="399">
        <v>0</v>
      </c>
      <c r="EC472" s="399">
        <v>-589.61717751129481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218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2361</v>
      </c>
      <c r="C473" s="399" t="s">
        <v>2328</v>
      </c>
      <c r="D473" s="399" t="s">
        <v>1823</v>
      </c>
      <c r="E473" s="399" t="s">
        <v>889</v>
      </c>
      <c r="F473" s="399" t="s">
        <v>2330</v>
      </c>
      <c r="G473" s="399" t="s">
        <v>1239</v>
      </c>
      <c r="H473" s="399" t="s">
        <v>1239</v>
      </c>
      <c r="I473" s="399" t="s">
        <v>1239</v>
      </c>
      <c r="J473" s="399" t="s">
        <v>2329</v>
      </c>
      <c r="K473" s="789">
        <v>44713</v>
      </c>
      <c r="L473" s="399">
        <v>0</v>
      </c>
      <c r="M473" s="399">
        <v>0</v>
      </c>
      <c r="N473" s="399">
        <v>0.03</v>
      </c>
      <c r="O473" s="399">
        <v>1.0500000000000001E-2</v>
      </c>
      <c r="P473" s="399">
        <v>0.03</v>
      </c>
      <c r="Q473" s="399">
        <v>1.0500000000000001E-2</v>
      </c>
      <c r="R473" s="399"/>
      <c r="S473" s="399">
        <v>451.8</v>
      </c>
      <c r="T473" s="399">
        <v>141.32</v>
      </c>
      <c r="U473" s="399"/>
      <c r="V473" s="399">
        <v>17.793599999999998</v>
      </c>
      <c r="W473" s="399">
        <v>17.793599999999998</v>
      </c>
      <c r="X473" s="399">
        <v>13.564799999999998</v>
      </c>
      <c r="Y473" s="399">
        <v>0</v>
      </c>
      <c r="Z473" s="399">
        <v>0</v>
      </c>
      <c r="AA473" s="399">
        <v>0</v>
      </c>
      <c r="AB473" s="399">
        <v>0</v>
      </c>
      <c r="AC473" s="399">
        <v>0</v>
      </c>
      <c r="AD473" s="399">
        <v>3.22661406669762</v>
      </c>
      <c r="AE473" s="399">
        <v>9.7485238457412002</v>
      </c>
      <c r="AF473" s="399">
        <v>4.2395679009595799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0</v>
      </c>
      <c r="AM473" s="399"/>
      <c r="AN473" s="399">
        <v>4.1606000504272496E-2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0.53714694032990096</v>
      </c>
      <c r="BH473" s="399">
        <v>0</v>
      </c>
      <c r="BI473" s="399">
        <v>0.1</v>
      </c>
      <c r="BJ473" s="399">
        <v>0.48</v>
      </c>
      <c r="BK473" s="399">
        <v>0.72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>
        <v>11.903069999999998</v>
      </c>
      <c r="BU473" s="399"/>
      <c r="BV473" s="399">
        <v>4.7767148412894809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1.5826000000000002</v>
      </c>
      <c r="CJ473" s="399">
        <v>-0.62709499999999974</v>
      </c>
      <c r="CK473" s="399"/>
      <c r="CL473" s="399"/>
      <c r="CM473" s="399"/>
      <c r="CN473" s="399"/>
      <c r="CO473" s="399">
        <v>-4.2288000000000006</v>
      </c>
      <c r="CP473" s="399">
        <v>0</v>
      </c>
      <c r="CQ473" s="399">
        <v>30</v>
      </c>
      <c r="CR473" s="399">
        <v>-1.7045079995023471E-2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-1.536740498471989E-2</v>
      </c>
      <c r="DA473" s="399">
        <v>0</v>
      </c>
      <c r="DB473" s="399">
        <v>0</v>
      </c>
      <c r="DC473" s="399">
        <v>0</v>
      </c>
      <c r="DD473" s="399">
        <v>0</v>
      </c>
      <c r="DE473" s="399">
        <v>0</v>
      </c>
      <c r="DF473" s="399">
        <v>0</v>
      </c>
      <c r="DG473" s="399">
        <v>0</v>
      </c>
      <c r="DH473" s="399">
        <v>0</v>
      </c>
      <c r="DI473" s="399">
        <v>0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0</v>
      </c>
      <c r="DP473" s="399">
        <v>-1.6776750103043997E-3</v>
      </c>
      <c r="DQ473" s="399">
        <v>0</v>
      </c>
      <c r="DR473" s="399">
        <v>0</v>
      </c>
      <c r="DS473" s="399"/>
      <c r="DT473" s="399"/>
      <c r="DU473" s="399"/>
      <c r="DV473" s="399">
        <v>9.7485238457412002</v>
      </c>
      <c r="DW473" s="399">
        <v>0</v>
      </c>
      <c r="DX473" s="399">
        <v>0</v>
      </c>
      <c r="DY473" s="399">
        <v>-4.2288000000000014</v>
      </c>
      <c r="DZ473" s="399">
        <v>0</v>
      </c>
      <c r="EA473" s="399">
        <v>0</v>
      </c>
      <c r="EB473" s="399">
        <v>0</v>
      </c>
      <c r="EC473" s="399">
        <v>-4.2115512679378204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218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956</v>
      </c>
      <c r="C474" s="399" t="s">
        <v>2328</v>
      </c>
      <c r="D474" s="399" t="s">
        <v>1823</v>
      </c>
      <c r="E474" s="399" t="s">
        <v>889</v>
      </c>
      <c r="F474" s="399" t="s">
        <v>2331</v>
      </c>
      <c r="G474" s="399" t="s">
        <v>1239</v>
      </c>
      <c r="H474" s="399" t="s">
        <v>1239</v>
      </c>
      <c r="I474" s="399" t="s">
        <v>1239</v>
      </c>
      <c r="J474" s="399" t="s">
        <v>2329</v>
      </c>
      <c r="K474" s="789">
        <v>44713</v>
      </c>
      <c r="L474" s="399">
        <v>0</v>
      </c>
      <c r="M474" s="399">
        <v>0</v>
      </c>
      <c r="N474" s="399">
        <v>8.3079999999999998</v>
      </c>
      <c r="O474" s="399">
        <v>8.3079999999999998</v>
      </c>
      <c r="P474" s="399">
        <v>8.3079999999999998</v>
      </c>
      <c r="Q474" s="399">
        <v>8.3079999999999998</v>
      </c>
      <c r="R474" s="399"/>
      <c r="S474" s="399">
        <v>451.8</v>
      </c>
      <c r="T474" s="399">
        <v>141.32</v>
      </c>
      <c r="U474" s="399"/>
      <c r="V474" s="399">
        <v>4927.6409599999997</v>
      </c>
      <c r="W474" s="399">
        <v>4927.6409599999997</v>
      </c>
      <c r="X474" s="399">
        <v>3756.5452799999994</v>
      </c>
      <c r="Y474" s="399">
        <v>0</v>
      </c>
      <c r="Z474" s="399">
        <v>0</v>
      </c>
      <c r="AA474" s="399">
        <v>0</v>
      </c>
      <c r="AB474" s="399">
        <v>0</v>
      </c>
      <c r="AC474" s="399">
        <v>0</v>
      </c>
      <c r="AD474" s="399">
        <v>893.55698887079416</v>
      </c>
      <c r="AE474" s="399">
        <v>2699.6912036805966</v>
      </c>
      <c r="AF474" s="399">
        <v>1174.0776707057398</v>
      </c>
      <c r="AG474" s="399">
        <v>0</v>
      </c>
      <c r="AH474" s="399">
        <v>0</v>
      </c>
      <c r="AI474" s="399">
        <v>0</v>
      </c>
      <c r="AJ474" s="399">
        <v>0</v>
      </c>
      <c r="AK474" s="399">
        <v>0</v>
      </c>
      <c r="AL474" s="399">
        <v>0</v>
      </c>
      <c r="AM474" s="399"/>
      <c r="AN474" s="399">
        <v>11.522088406316531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148.75389267536059</v>
      </c>
      <c r="BH474" s="399">
        <v>0</v>
      </c>
      <c r="BI474" s="399">
        <v>28.82</v>
      </c>
      <c r="BJ474" s="399">
        <v>134.94999999999999</v>
      </c>
      <c r="BK474" s="399">
        <v>329.86</v>
      </c>
      <c r="BL474" s="399">
        <v>38</v>
      </c>
      <c r="BM474" s="399"/>
      <c r="BN474" s="399"/>
      <c r="BO474" s="399"/>
      <c r="BP474" s="399"/>
      <c r="BQ474" s="399"/>
      <c r="BR474" s="399"/>
      <c r="BS474" s="399"/>
      <c r="BT474" s="399">
        <v>1502.5848799999997</v>
      </c>
      <c r="BU474" s="399"/>
      <c r="BV474" s="399">
        <v>1322.8315633811003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2254.5030000000002</v>
      </c>
      <c r="CJ474" s="399">
        <v>-702.09496000000036</v>
      </c>
      <c r="CK474" s="399"/>
      <c r="CL474" s="399"/>
      <c r="CM474" s="399"/>
      <c r="CN474" s="399"/>
      <c r="CO474" s="399">
        <v>-1171.0956800000004</v>
      </c>
      <c r="CP474" s="399">
        <v>0</v>
      </c>
      <c r="CQ474" s="399">
        <v>30</v>
      </c>
      <c r="CR474" s="399">
        <v>-4.7203508199554562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-4.2557466871016914</v>
      </c>
      <c r="DA474" s="399">
        <v>0</v>
      </c>
      <c r="DB474" s="399">
        <v>0</v>
      </c>
      <c r="DC474" s="399">
        <v>0</v>
      </c>
      <c r="DD474" s="399">
        <v>0</v>
      </c>
      <c r="DE474" s="399">
        <v>0</v>
      </c>
      <c r="DF474" s="399">
        <v>0</v>
      </c>
      <c r="DG474" s="399">
        <v>0</v>
      </c>
      <c r="DH474" s="399">
        <v>0</v>
      </c>
      <c r="DI474" s="399">
        <v>0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0</v>
      </c>
      <c r="DP474" s="399">
        <v>-0.46460413285363167</v>
      </c>
      <c r="DQ474" s="399">
        <v>0</v>
      </c>
      <c r="DR474" s="399">
        <v>0</v>
      </c>
      <c r="DS474" s="399"/>
      <c r="DT474" s="399"/>
      <c r="DU474" s="399"/>
      <c r="DV474" s="399">
        <v>2699.6912036805966</v>
      </c>
      <c r="DW474" s="399">
        <v>0</v>
      </c>
      <c r="DX474" s="399">
        <v>0</v>
      </c>
      <c r="DY474" s="399">
        <v>-1171.0956800000004</v>
      </c>
      <c r="DZ474" s="399">
        <v>0</v>
      </c>
      <c r="EA474" s="399">
        <v>0</v>
      </c>
      <c r="EB474" s="399">
        <v>0</v>
      </c>
      <c r="EC474" s="399">
        <v>-1166.3189311342471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218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2361</v>
      </c>
      <c r="C475" s="399" t="s">
        <v>2328</v>
      </c>
      <c r="D475" s="399" t="s">
        <v>1823</v>
      </c>
      <c r="E475" s="399" t="s">
        <v>889</v>
      </c>
      <c r="F475" s="399" t="s">
        <v>2331</v>
      </c>
      <c r="G475" s="399" t="s">
        <v>1239</v>
      </c>
      <c r="H475" s="399" t="s">
        <v>1239</v>
      </c>
      <c r="I475" s="399" t="s">
        <v>1239</v>
      </c>
      <c r="J475" s="399" t="s">
        <v>2329</v>
      </c>
      <c r="K475" s="789">
        <v>44713</v>
      </c>
      <c r="L475" s="399">
        <v>0</v>
      </c>
      <c r="M475" s="399">
        <v>0</v>
      </c>
      <c r="N475" s="399">
        <v>0</v>
      </c>
      <c r="O475" s="399">
        <v>0</v>
      </c>
      <c r="P475" s="399">
        <v>0</v>
      </c>
      <c r="Q475" s="399">
        <v>0</v>
      </c>
      <c r="R475" s="399"/>
      <c r="S475" s="399"/>
      <c r="T475" s="399"/>
      <c r="U475" s="399"/>
      <c r="V475" s="399"/>
      <c r="W475" s="399"/>
      <c r="X475" s="399"/>
      <c r="Y475" s="399"/>
      <c r="Z475" s="399"/>
      <c r="AA475" s="399">
        <v>0</v>
      </c>
      <c r="AB475" s="399"/>
      <c r="AC475" s="399"/>
      <c r="AD475" s="399"/>
      <c r="AE475" s="399"/>
      <c r="AF475" s="399"/>
      <c r="AG475" s="399"/>
      <c r="AH475" s="399"/>
      <c r="AI475" s="399"/>
      <c r="AJ475" s="399"/>
      <c r="AK475" s="399"/>
      <c r="AL475" s="399"/>
      <c r="AM475" s="399"/>
      <c r="AN475" s="399"/>
      <c r="AO475" s="399"/>
      <c r="AP475" s="399"/>
      <c r="AQ475" s="399"/>
      <c r="AR475" s="399"/>
      <c r="AS475" s="399"/>
      <c r="AT475" s="399"/>
      <c r="AU475" s="399"/>
      <c r="AV475" s="399"/>
      <c r="AW475" s="399"/>
      <c r="AX475" s="399"/>
      <c r="AY475" s="399"/>
      <c r="AZ475" s="399">
        <v>0</v>
      </c>
      <c r="BA475" s="399"/>
      <c r="BB475" s="399"/>
      <c r="BC475" s="399"/>
      <c r="BD475" s="399"/>
      <c r="BE475" s="399"/>
      <c r="BF475" s="399"/>
      <c r="BG475" s="399"/>
      <c r="BH475" s="399"/>
      <c r="BI475" s="399">
        <v>0</v>
      </c>
      <c r="BJ475" s="399">
        <v>0</v>
      </c>
      <c r="BK475" s="399">
        <v>1.46</v>
      </c>
      <c r="BL475" s="399">
        <v>0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/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/>
      <c r="CJ475" s="399">
        <v>-0.03</v>
      </c>
      <c r="CK475" s="399"/>
      <c r="CL475" s="399"/>
      <c r="CM475" s="399"/>
      <c r="CN475" s="399"/>
      <c r="CO475" s="399">
        <v>0</v>
      </c>
      <c r="CP475" s="399">
        <v>0</v>
      </c>
      <c r="CQ475" s="399">
        <v>30</v>
      </c>
      <c r="CR475" s="399"/>
      <c r="CS475" s="399"/>
      <c r="CT475" s="399"/>
      <c r="CU475" s="399"/>
      <c r="CV475" s="399"/>
      <c r="CW475" s="399"/>
      <c r="CX475" s="399"/>
      <c r="CY475" s="399"/>
      <c r="CZ475" s="399"/>
      <c r="DA475" s="399"/>
      <c r="DB475" s="399"/>
      <c r="DC475" s="399"/>
      <c r="DD475" s="399"/>
      <c r="DE475" s="399"/>
      <c r="DF475" s="399"/>
      <c r="DG475" s="399"/>
      <c r="DH475" s="399"/>
      <c r="DI475" s="399"/>
      <c r="DJ475" s="399"/>
      <c r="DK475" s="399">
        <v>0</v>
      </c>
      <c r="DL475" s="399"/>
      <c r="DM475" s="399"/>
      <c r="DN475" s="399"/>
      <c r="DO475" s="399"/>
      <c r="DP475" s="399"/>
      <c r="DQ475" s="399"/>
      <c r="DR475" s="399"/>
      <c r="DS475" s="399"/>
      <c r="DT475" s="399"/>
      <c r="DU475" s="399"/>
      <c r="DV475" s="399"/>
      <c r="DW475" s="399"/>
      <c r="DX475" s="399"/>
      <c r="DY475" s="399"/>
      <c r="DZ475" s="399"/>
      <c r="EA475" s="399"/>
      <c r="EB475" s="399"/>
      <c r="EC475" s="399"/>
      <c r="ED475" s="399"/>
      <c r="EE475" s="399"/>
      <c r="EF475" s="399"/>
      <c r="EG475" s="399"/>
      <c r="EH475" s="399"/>
      <c r="EI475" s="399"/>
      <c r="EJ475" s="399"/>
      <c r="EK475" s="399"/>
      <c r="EL475" s="399"/>
      <c r="EM475" s="399"/>
      <c r="EN475" s="399"/>
      <c r="EO475" s="399"/>
      <c r="EP475" s="399"/>
      <c r="EQ475" s="399"/>
      <c r="ER475" s="399"/>
      <c r="ES475" s="399"/>
      <c r="ET475" s="399"/>
      <c r="EU475" s="399"/>
      <c r="EV475" s="399">
        <v>218</v>
      </c>
      <c r="EW475" s="399"/>
      <c r="EX475" s="399"/>
      <c r="EY475" s="399"/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956</v>
      </c>
      <c r="C476" s="399" t="s">
        <v>2328</v>
      </c>
      <c r="D476" s="399" t="s">
        <v>1823</v>
      </c>
      <c r="E476" s="399" t="s">
        <v>889</v>
      </c>
      <c r="F476" s="399" t="s">
        <v>2332</v>
      </c>
      <c r="G476" s="399" t="s">
        <v>1239</v>
      </c>
      <c r="H476" s="399" t="s">
        <v>1239</v>
      </c>
      <c r="I476" s="399" t="s">
        <v>1239</v>
      </c>
      <c r="J476" s="399" t="s">
        <v>2329</v>
      </c>
      <c r="K476" s="789">
        <v>44713</v>
      </c>
      <c r="L476" s="399">
        <v>0</v>
      </c>
      <c r="M476" s="399">
        <v>0</v>
      </c>
      <c r="N476" s="399">
        <v>7.9269999999999996</v>
      </c>
      <c r="O476" s="399">
        <v>7.9269999999999996</v>
      </c>
      <c r="P476" s="399">
        <v>7.9269999999999996</v>
      </c>
      <c r="Q476" s="399">
        <v>7.9269999999999996</v>
      </c>
      <c r="R476" s="399"/>
      <c r="S476" s="399">
        <v>451.8</v>
      </c>
      <c r="T476" s="399">
        <v>141.32</v>
      </c>
      <c r="U476" s="399"/>
      <c r="V476" s="399">
        <v>4701.6622399999997</v>
      </c>
      <c r="W476" s="399">
        <v>4701.6622399999997</v>
      </c>
      <c r="X476" s="399">
        <v>3584.27232</v>
      </c>
      <c r="Y476" s="399">
        <v>0</v>
      </c>
      <c r="Z476" s="399">
        <v>0</v>
      </c>
      <c r="AA476" s="399">
        <v>0</v>
      </c>
      <c r="AB476" s="399">
        <v>0</v>
      </c>
      <c r="AC476" s="399">
        <v>0</v>
      </c>
      <c r="AD476" s="399">
        <v>852.57899022373442</v>
      </c>
      <c r="AE476" s="399">
        <v>2575.8849508396829</v>
      </c>
      <c r="AF476" s="399">
        <v>1120.2351583635532</v>
      </c>
      <c r="AG476" s="399">
        <v>0</v>
      </c>
      <c r="AH476" s="399">
        <v>0</v>
      </c>
      <c r="AI476" s="399">
        <v>0</v>
      </c>
      <c r="AJ476" s="399">
        <v>0</v>
      </c>
      <c r="AK476" s="399">
        <v>0</v>
      </c>
      <c r="AL476" s="399">
        <v>0</v>
      </c>
      <c r="AM476" s="399"/>
      <c r="AN476" s="399">
        <v>10.993692199912269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141.93212653317084</v>
      </c>
      <c r="BH476" s="399">
        <v>0</v>
      </c>
      <c r="BI476" s="399">
        <v>27.51</v>
      </c>
      <c r="BJ476" s="399">
        <v>127.78</v>
      </c>
      <c r="BK476" s="399">
        <v>777.93</v>
      </c>
      <c r="BL476" s="399">
        <v>60</v>
      </c>
      <c r="BM476" s="399"/>
      <c r="BN476" s="399"/>
      <c r="BO476" s="399"/>
      <c r="BP476" s="399"/>
      <c r="BQ476" s="399"/>
      <c r="BR476" s="399"/>
      <c r="BS476" s="399"/>
      <c r="BT476" s="399">
        <v>358.37966999999981</v>
      </c>
      <c r="BU476" s="399"/>
      <c r="BV476" s="399">
        <v>1262.1672848967241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3227.1134999999999</v>
      </c>
      <c r="CJ476" s="399">
        <v>-1004.4283700000001</v>
      </c>
      <c r="CK476" s="399"/>
      <c r="CL476" s="399"/>
      <c r="CM476" s="399"/>
      <c r="CN476" s="399"/>
      <c r="CO476" s="399">
        <v>-1117.3899200000003</v>
      </c>
      <c r="CP476" s="399">
        <v>0</v>
      </c>
      <c r="CQ476" s="399">
        <v>30</v>
      </c>
      <c r="CR476" s="399">
        <v>-4.503878304018599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-4.0605806437957881</v>
      </c>
      <c r="DA476" s="399">
        <v>0</v>
      </c>
      <c r="DB476" s="399">
        <v>0</v>
      </c>
      <c r="DC476" s="399">
        <v>0</v>
      </c>
      <c r="DD476" s="399">
        <v>0</v>
      </c>
      <c r="DE476" s="399">
        <v>0</v>
      </c>
      <c r="DF476" s="399">
        <v>0</v>
      </c>
      <c r="DG476" s="399">
        <v>0</v>
      </c>
      <c r="DH476" s="399">
        <v>0</v>
      </c>
      <c r="DI476" s="399">
        <v>0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0</v>
      </c>
      <c r="DP476" s="399">
        <v>-0.44329766022276651</v>
      </c>
      <c r="DQ476" s="399">
        <v>0</v>
      </c>
      <c r="DR476" s="399">
        <v>0</v>
      </c>
      <c r="DS476" s="399"/>
      <c r="DT476" s="399"/>
      <c r="DU476" s="399"/>
      <c r="DV476" s="399">
        <v>2575.8849508396829</v>
      </c>
      <c r="DW476" s="399">
        <v>0</v>
      </c>
      <c r="DX476" s="399">
        <v>0</v>
      </c>
      <c r="DY476" s="399">
        <v>-1117.3899200000001</v>
      </c>
      <c r="DZ476" s="399">
        <v>0</v>
      </c>
      <c r="EA476" s="399">
        <v>0</v>
      </c>
      <c r="EB476" s="399">
        <v>0</v>
      </c>
      <c r="EC476" s="399">
        <v>-1112.8322300314364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218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2361</v>
      </c>
      <c r="C477" s="399" t="s">
        <v>2328</v>
      </c>
      <c r="D477" s="399" t="s">
        <v>1823</v>
      </c>
      <c r="E477" s="399" t="s">
        <v>889</v>
      </c>
      <c r="F477" s="399" t="s">
        <v>2332</v>
      </c>
      <c r="G477" s="399" t="s">
        <v>1239</v>
      </c>
      <c r="H477" s="399" t="s">
        <v>1239</v>
      </c>
      <c r="I477" s="399" t="s">
        <v>1239</v>
      </c>
      <c r="J477" s="399" t="s">
        <v>2329</v>
      </c>
      <c r="K477" s="789">
        <v>44713</v>
      </c>
      <c r="L477" s="399">
        <v>0</v>
      </c>
      <c r="M477" s="399">
        <v>0</v>
      </c>
      <c r="N477" s="399">
        <v>0</v>
      </c>
      <c r="O477" s="399">
        <v>0</v>
      </c>
      <c r="P477" s="399">
        <v>0</v>
      </c>
      <c r="Q477" s="399">
        <v>0</v>
      </c>
      <c r="R477" s="399"/>
      <c r="S477" s="399"/>
      <c r="T477" s="399"/>
      <c r="U477" s="399"/>
      <c r="V477" s="399"/>
      <c r="W477" s="399"/>
      <c r="X477" s="399"/>
      <c r="Y477" s="399"/>
      <c r="Z477" s="399"/>
      <c r="AA477" s="399">
        <v>0</v>
      </c>
      <c r="AB477" s="399"/>
      <c r="AC477" s="399"/>
      <c r="AD477" s="399"/>
      <c r="AE477" s="399"/>
      <c r="AF477" s="399"/>
      <c r="AG477" s="399"/>
      <c r="AH477" s="399"/>
      <c r="AI477" s="399"/>
      <c r="AJ477" s="399"/>
      <c r="AK477" s="399"/>
      <c r="AL477" s="399"/>
      <c r="AM477" s="399"/>
      <c r="AN477" s="399"/>
      <c r="AO477" s="399"/>
      <c r="AP477" s="399"/>
      <c r="AQ477" s="399"/>
      <c r="AR477" s="399"/>
      <c r="AS477" s="399"/>
      <c r="AT477" s="399"/>
      <c r="AU477" s="399"/>
      <c r="AV477" s="399"/>
      <c r="AW477" s="399"/>
      <c r="AX477" s="399"/>
      <c r="AY477" s="399"/>
      <c r="AZ477" s="399">
        <v>0</v>
      </c>
      <c r="BA477" s="399"/>
      <c r="BB477" s="399"/>
      <c r="BC477" s="399"/>
      <c r="BD477" s="399"/>
      <c r="BE477" s="399"/>
      <c r="BF477" s="399"/>
      <c r="BG477" s="399"/>
      <c r="BH477" s="399"/>
      <c r="BI477" s="399">
        <v>0</v>
      </c>
      <c r="BJ477" s="399">
        <v>0</v>
      </c>
      <c r="BK477" s="399">
        <v>4.1399999999999997</v>
      </c>
      <c r="BL477" s="399">
        <v>1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/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/>
      <c r="CJ477" s="399">
        <v>-0.03</v>
      </c>
      <c r="CK477" s="399"/>
      <c r="CL477" s="399"/>
      <c r="CM477" s="399"/>
      <c r="CN477" s="399"/>
      <c r="CO477" s="399">
        <v>0</v>
      </c>
      <c r="CP477" s="399">
        <v>0</v>
      </c>
      <c r="CQ477" s="399">
        <v>30</v>
      </c>
      <c r="CR477" s="399"/>
      <c r="CS477" s="399"/>
      <c r="CT477" s="399"/>
      <c r="CU477" s="399"/>
      <c r="CV477" s="399"/>
      <c r="CW477" s="399"/>
      <c r="CX477" s="399"/>
      <c r="CY477" s="399"/>
      <c r="CZ477" s="399"/>
      <c r="DA477" s="399"/>
      <c r="DB477" s="399"/>
      <c r="DC477" s="399"/>
      <c r="DD477" s="399"/>
      <c r="DE477" s="399"/>
      <c r="DF477" s="399"/>
      <c r="DG477" s="399"/>
      <c r="DH477" s="399"/>
      <c r="DI477" s="399"/>
      <c r="DJ477" s="399"/>
      <c r="DK477" s="399">
        <v>0</v>
      </c>
      <c r="DL477" s="399"/>
      <c r="DM477" s="399"/>
      <c r="DN477" s="399"/>
      <c r="DO477" s="399"/>
      <c r="DP477" s="399"/>
      <c r="DQ477" s="399"/>
      <c r="DR477" s="399"/>
      <c r="DS477" s="399"/>
      <c r="DT477" s="399"/>
      <c r="DU477" s="399"/>
      <c r="DV477" s="399"/>
      <c r="DW477" s="399"/>
      <c r="DX477" s="399"/>
      <c r="DY477" s="399"/>
      <c r="DZ477" s="399"/>
      <c r="EA477" s="399"/>
      <c r="EB477" s="399"/>
      <c r="EC477" s="399"/>
      <c r="ED477" s="399"/>
      <c r="EE477" s="399"/>
      <c r="EF477" s="399"/>
      <c r="EG477" s="399"/>
      <c r="EH477" s="399"/>
      <c r="EI477" s="399"/>
      <c r="EJ477" s="399"/>
      <c r="EK477" s="399"/>
      <c r="EL477" s="399"/>
      <c r="EM477" s="399"/>
      <c r="EN477" s="399"/>
      <c r="EO477" s="399"/>
      <c r="EP477" s="399"/>
      <c r="EQ477" s="399"/>
      <c r="ER477" s="399"/>
      <c r="ES477" s="399"/>
      <c r="ET477" s="399"/>
      <c r="EU477" s="399"/>
      <c r="EV477" s="399">
        <v>218</v>
      </c>
      <c r="EW477" s="399"/>
      <c r="EX477" s="399"/>
      <c r="EY477" s="399"/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956</v>
      </c>
      <c r="C478" s="399" t="s">
        <v>2328</v>
      </c>
      <c r="D478" s="399" t="s">
        <v>1823</v>
      </c>
      <c r="E478" s="399" t="s">
        <v>889</v>
      </c>
      <c r="F478" s="399" t="s">
        <v>2333</v>
      </c>
      <c r="G478" s="399" t="s">
        <v>1239</v>
      </c>
      <c r="H478" s="399" t="s">
        <v>1239</v>
      </c>
      <c r="I478" s="399" t="s">
        <v>1239</v>
      </c>
      <c r="J478" s="399" t="s">
        <v>2329</v>
      </c>
      <c r="K478" s="789">
        <v>44713</v>
      </c>
      <c r="L478" s="399">
        <v>0</v>
      </c>
      <c r="M478" s="399">
        <v>0</v>
      </c>
      <c r="N478" s="399">
        <v>3.8069999999999999</v>
      </c>
      <c r="O478" s="399">
        <v>3.8069999999999999</v>
      </c>
      <c r="P478" s="399">
        <v>3.8069999999999999</v>
      </c>
      <c r="Q478" s="399">
        <v>3.8069999999999999</v>
      </c>
      <c r="R478" s="399"/>
      <c r="S478" s="399">
        <v>451.8</v>
      </c>
      <c r="T478" s="399">
        <v>141.32</v>
      </c>
      <c r="U478" s="399"/>
      <c r="V478" s="399">
        <v>2258.0078400000002</v>
      </c>
      <c r="W478" s="399">
        <v>2258.0078400000002</v>
      </c>
      <c r="X478" s="399">
        <v>1721.3731199999997</v>
      </c>
      <c r="Y478" s="399">
        <v>0</v>
      </c>
      <c r="Z478" s="399">
        <v>0</v>
      </c>
      <c r="AA478" s="399">
        <v>0</v>
      </c>
      <c r="AB478" s="399">
        <v>0</v>
      </c>
      <c r="AC478" s="399">
        <v>0</v>
      </c>
      <c r="AD478" s="399">
        <v>409.45732506392795</v>
      </c>
      <c r="AE478" s="399">
        <v>1237.0876760245583</v>
      </c>
      <c r="AF478" s="399">
        <v>538.00116663177073</v>
      </c>
      <c r="AG478" s="399">
        <v>0</v>
      </c>
      <c r="AH478" s="399">
        <v>0</v>
      </c>
      <c r="AI478" s="399">
        <v>0</v>
      </c>
      <c r="AJ478" s="399">
        <v>0</v>
      </c>
      <c r="AK478" s="399">
        <v>0</v>
      </c>
      <c r="AL478" s="399">
        <v>0</v>
      </c>
      <c r="AM478" s="399"/>
      <c r="AN478" s="399">
        <v>5.2798014639921798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68.163946727864442</v>
      </c>
      <c r="BH478" s="399">
        <v>0</v>
      </c>
      <c r="BI478" s="399">
        <v>13.66</v>
      </c>
      <c r="BJ478" s="399">
        <v>61.21</v>
      </c>
      <c r="BK478" s="399">
        <v>598.55999999999995</v>
      </c>
      <c r="BL478" s="399">
        <v>36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606.16511335963514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1722.7295999999999</v>
      </c>
      <c r="CJ478" s="399">
        <v>-535.30824000000007</v>
      </c>
      <c r="CK478" s="399"/>
      <c r="CL478" s="399"/>
      <c r="CM478" s="399"/>
      <c r="CN478" s="399"/>
      <c r="CO478" s="399">
        <v>-536.63472000000013</v>
      </c>
      <c r="CP478" s="399">
        <v>0</v>
      </c>
      <c r="CQ478" s="399">
        <v>30</v>
      </c>
      <c r="CR478" s="399">
        <v>-2.1630206513685835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-1.9501236925609078</v>
      </c>
      <c r="DA478" s="399">
        <v>0</v>
      </c>
      <c r="DB478" s="399">
        <v>0</v>
      </c>
      <c r="DC478" s="399">
        <v>0</v>
      </c>
      <c r="DD478" s="399">
        <v>0</v>
      </c>
      <c r="DE478" s="399">
        <v>0</v>
      </c>
      <c r="DF478" s="399">
        <v>0</v>
      </c>
      <c r="DG478" s="399">
        <v>0</v>
      </c>
      <c r="DH478" s="399">
        <v>0</v>
      </c>
      <c r="DI478" s="399">
        <v>0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0</v>
      </c>
      <c r="DP478" s="399">
        <v>-0.2128969588076286</v>
      </c>
      <c r="DQ478" s="399">
        <v>0</v>
      </c>
      <c r="DR478" s="399">
        <v>0</v>
      </c>
      <c r="DS478" s="399"/>
      <c r="DT478" s="399"/>
      <c r="DU478" s="399"/>
      <c r="DV478" s="399">
        <v>1237.0876760245583</v>
      </c>
      <c r="DW478" s="399">
        <v>0</v>
      </c>
      <c r="DX478" s="399">
        <v>0</v>
      </c>
      <c r="DY478" s="399">
        <v>-536.63472000000024</v>
      </c>
      <c r="DZ478" s="399">
        <v>0</v>
      </c>
      <c r="EA478" s="399">
        <v>0</v>
      </c>
      <c r="EB478" s="399">
        <v>0</v>
      </c>
      <c r="EC478" s="399">
        <v>-534.4458559013093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218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956</v>
      </c>
      <c r="C479" s="399" t="s">
        <v>2328</v>
      </c>
      <c r="D479" s="399" t="s">
        <v>1826</v>
      </c>
      <c r="E479" s="399" t="s">
        <v>890</v>
      </c>
      <c r="F479" s="399" t="s">
        <v>1239</v>
      </c>
      <c r="G479" s="399" t="s">
        <v>1239</v>
      </c>
      <c r="H479" s="399" t="s">
        <v>1239</v>
      </c>
      <c r="I479" s="399" t="s">
        <v>1239</v>
      </c>
      <c r="J479" s="399" t="s">
        <v>2329</v>
      </c>
      <c r="K479" s="789">
        <v>44713</v>
      </c>
      <c r="L479" s="399">
        <v>0</v>
      </c>
      <c r="M479" s="399">
        <v>0</v>
      </c>
      <c r="N479" s="399">
        <v>154.83799999999999</v>
      </c>
      <c r="O479" s="399">
        <v>154.83799999999999</v>
      </c>
      <c r="P479" s="399">
        <v>154.83799999999999</v>
      </c>
      <c r="Q479" s="399">
        <v>154.83799999999999</v>
      </c>
      <c r="R479" s="399"/>
      <c r="S479" s="399">
        <v>521.86</v>
      </c>
      <c r="T479" s="399">
        <v>141.32</v>
      </c>
      <c r="U479" s="399"/>
      <c r="V479" s="399">
        <v>102685.46484</v>
      </c>
      <c r="W479" s="399">
        <v>102685.46484</v>
      </c>
      <c r="X479" s="399">
        <v>80257.180540000001</v>
      </c>
      <c r="Y479" s="399">
        <v>0</v>
      </c>
      <c r="Z479" s="399">
        <v>9395.1119056122534</v>
      </c>
      <c r="AA479" s="399">
        <v>0</v>
      </c>
      <c r="AB479" s="399">
        <v>0</v>
      </c>
      <c r="AC479" s="399">
        <v>0</v>
      </c>
      <c r="AD479" s="399">
        <v>16653.415628644201</v>
      </c>
      <c r="AE479" s="399">
        <v>50314.7311742292</v>
      </c>
      <c r="AF479" s="399">
        <v>21881.540488292649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1452.6889313301699</v>
      </c>
      <c r="AM479" s="399"/>
      <c r="AN479" s="399">
        <v>214.73966353601816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2772.3585982267068</v>
      </c>
      <c r="BH479" s="399">
        <v>0</v>
      </c>
      <c r="BI479" s="399">
        <v>540.61</v>
      </c>
      <c r="BJ479" s="399">
        <v>2499.0700000000002</v>
      </c>
      <c r="BK479" s="399">
        <v>27728.65</v>
      </c>
      <c r="BL479" s="399">
        <v>138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24653.899086519355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80258.217199999999</v>
      </c>
      <c r="CJ479" s="399">
        <v>-22427.277639999986</v>
      </c>
      <c r="CK479" s="399"/>
      <c r="CL479" s="399"/>
      <c r="CM479" s="399"/>
      <c r="CN479" s="399"/>
      <c r="CO479" s="399">
        <v>-22428.284300000003</v>
      </c>
      <c r="CP479" s="399">
        <v>0</v>
      </c>
      <c r="CQ479" s="399">
        <v>30</v>
      </c>
      <c r="CR479" s="399">
        <v>-689.91746123326448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-79.315275100801955</v>
      </c>
      <c r="DA479" s="399">
        <v>0</v>
      </c>
      <c r="DB479" s="399">
        <v>0</v>
      </c>
      <c r="DC479" s="399">
        <v>0</v>
      </c>
      <c r="DD479" s="399">
        <v>0</v>
      </c>
      <c r="DE479" s="399">
        <v>0</v>
      </c>
      <c r="DF479" s="399">
        <v>0</v>
      </c>
      <c r="DG479" s="399">
        <v>0</v>
      </c>
      <c r="DH479" s="399">
        <v>0</v>
      </c>
      <c r="DI479" s="399">
        <v>-529.35500344294815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-72.588254581337424</v>
      </c>
      <c r="DP479" s="399">
        <v>-8.6589281081837441</v>
      </c>
      <c r="DQ479" s="399">
        <v>0</v>
      </c>
      <c r="DR479" s="399">
        <v>0</v>
      </c>
      <c r="DS479" s="399"/>
      <c r="DT479" s="399"/>
      <c r="DU479" s="399"/>
      <c r="DV479" s="399">
        <v>50314.7311742292</v>
      </c>
      <c r="DW479" s="399">
        <v>0</v>
      </c>
      <c r="DX479" s="399">
        <v>0</v>
      </c>
      <c r="DY479" s="399">
        <v>-22428.284299999999</v>
      </c>
      <c r="DZ479" s="399">
        <v>0</v>
      </c>
      <c r="EA479" s="399">
        <v>0</v>
      </c>
      <c r="EB479" s="399">
        <v>0</v>
      </c>
      <c r="EC479" s="399">
        <v>-21736.939174165207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218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2361</v>
      </c>
      <c r="C480" s="399" t="s">
        <v>2328</v>
      </c>
      <c r="D480" s="399" t="s">
        <v>1826</v>
      </c>
      <c r="E480" s="399" t="s">
        <v>890</v>
      </c>
      <c r="F480" s="399" t="s">
        <v>1239</v>
      </c>
      <c r="G480" s="399" t="s">
        <v>1239</v>
      </c>
      <c r="H480" s="399" t="s">
        <v>1239</v>
      </c>
      <c r="I480" s="399" t="s">
        <v>1239</v>
      </c>
      <c r="J480" s="399" t="s">
        <v>2329</v>
      </c>
      <c r="K480" s="789">
        <v>44713</v>
      </c>
      <c r="L480" s="399">
        <v>0</v>
      </c>
      <c r="M480" s="399">
        <v>0</v>
      </c>
      <c r="N480" s="399">
        <v>15.335000000000001</v>
      </c>
      <c r="O480" s="399">
        <v>15.335000000000001</v>
      </c>
      <c r="P480" s="399">
        <v>15.335000000000001</v>
      </c>
      <c r="Q480" s="399">
        <v>15.335000000000001</v>
      </c>
      <c r="R480" s="399"/>
      <c r="S480" s="399">
        <v>521.86</v>
      </c>
      <c r="T480" s="399">
        <v>141.32</v>
      </c>
      <c r="U480" s="399"/>
      <c r="V480" s="399">
        <v>10169.865300000001</v>
      </c>
      <c r="W480" s="399">
        <v>10169.865300000001</v>
      </c>
      <c r="X480" s="399">
        <v>7948.5905500000008</v>
      </c>
      <c r="Y480" s="399">
        <v>0</v>
      </c>
      <c r="Z480" s="399">
        <v>930.482446638189</v>
      </c>
      <c r="AA480" s="399">
        <v>0</v>
      </c>
      <c r="AB480" s="399">
        <v>0</v>
      </c>
      <c r="AC480" s="399">
        <v>0</v>
      </c>
      <c r="AD480" s="399">
        <v>1649.3375570936</v>
      </c>
      <c r="AE480" s="399">
        <v>4983.1204391480442</v>
      </c>
      <c r="AF480" s="399">
        <v>2167.1257920405055</v>
      </c>
      <c r="AG480" s="399">
        <v>0</v>
      </c>
      <c r="AH480" s="399">
        <v>0</v>
      </c>
      <c r="AI480" s="399">
        <v>0</v>
      </c>
      <c r="AJ480" s="399">
        <v>0</v>
      </c>
      <c r="AK480" s="399">
        <v>0</v>
      </c>
      <c r="AL480" s="399">
        <v>143.87285267148994</v>
      </c>
      <c r="AM480" s="399"/>
      <c r="AN480" s="399">
        <v>21.267600591100628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274.57161099863441</v>
      </c>
      <c r="BH480" s="399">
        <v>0</v>
      </c>
      <c r="BI480" s="399">
        <v>53.53</v>
      </c>
      <c r="BJ480" s="399">
        <v>247.52</v>
      </c>
      <c r="BK480" s="399">
        <v>5457.08</v>
      </c>
      <c r="BL480" s="399">
        <v>12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2441.6974030391398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7951.1821999999993</v>
      </c>
      <c r="CJ480" s="399">
        <v>-2218.7131000000027</v>
      </c>
      <c r="CK480" s="399"/>
      <c r="CL480" s="399"/>
      <c r="CM480" s="399"/>
      <c r="CN480" s="399"/>
      <c r="CO480" s="399">
        <v>-2221.2747500000005</v>
      </c>
      <c r="CP480" s="399">
        <v>0</v>
      </c>
      <c r="CQ480" s="399">
        <v>30</v>
      </c>
      <c r="CR480" s="399">
        <v>-68.328732404269431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-7.8553051813557886</v>
      </c>
      <c r="DA480" s="399">
        <v>0</v>
      </c>
      <c r="DB480" s="399">
        <v>0</v>
      </c>
      <c r="DC480" s="399">
        <v>0</v>
      </c>
      <c r="DD480" s="399">
        <v>0</v>
      </c>
      <c r="DE480" s="399">
        <v>0</v>
      </c>
      <c r="DF480" s="399">
        <v>0</v>
      </c>
      <c r="DG480" s="399">
        <v>0</v>
      </c>
      <c r="DH480" s="399">
        <v>0</v>
      </c>
      <c r="DI480" s="399">
        <v>-52.426787854387157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-7.1890678257586274</v>
      </c>
      <c r="DP480" s="399">
        <v>-0.85757154276726766</v>
      </c>
      <c r="DQ480" s="399">
        <v>0</v>
      </c>
      <c r="DR480" s="399">
        <v>0</v>
      </c>
      <c r="DS480" s="399"/>
      <c r="DT480" s="399"/>
      <c r="DU480" s="399"/>
      <c r="DV480" s="399">
        <v>4983.1204391480442</v>
      </c>
      <c r="DW480" s="399">
        <v>0</v>
      </c>
      <c r="DX480" s="399">
        <v>0</v>
      </c>
      <c r="DY480" s="399">
        <v>-2221.2747500000005</v>
      </c>
      <c r="DZ480" s="399">
        <v>0</v>
      </c>
      <c r="EA480" s="399">
        <v>0</v>
      </c>
      <c r="EB480" s="399">
        <v>0</v>
      </c>
      <c r="EC480" s="399">
        <v>-2152.8046231275493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218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956</v>
      </c>
      <c r="C481" s="399" t="s">
        <v>2334</v>
      </c>
      <c r="D481" s="399" t="s">
        <v>533</v>
      </c>
      <c r="E481" s="399" t="s">
        <v>890</v>
      </c>
      <c r="F481" s="399" t="s">
        <v>1239</v>
      </c>
      <c r="G481" s="399" t="s">
        <v>1239</v>
      </c>
      <c r="H481" s="399" t="s">
        <v>1239</v>
      </c>
      <c r="I481" s="399" t="s">
        <v>893</v>
      </c>
      <c r="J481" s="399" t="s">
        <v>2329</v>
      </c>
      <c r="K481" s="789">
        <v>44713</v>
      </c>
      <c r="L481" s="399">
        <v>0</v>
      </c>
      <c r="M481" s="399">
        <v>0</v>
      </c>
      <c r="N481" s="399">
        <v>98.597999999999999</v>
      </c>
      <c r="O481" s="399">
        <v>98.597999999999999</v>
      </c>
      <c r="P481" s="399">
        <v>98.597999999999999</v>
      </c>
      <c r="Q481" s="399">
        <v>98.597999999999999</v>
      </c>
      <c r="R481" s="399"/>
      <c r="S481" s="399">
        <v>2741.05</v>
      </c>
      <c r="T481" s="399">
        <v>141.32</v>
      </c>
      <c r="U481" s="399"/>
      <c r="V481" s="399">
        <v>284195.91726000002</v>
      </c>
      <c r="W481" s="399">
        <v>284195.91726000002</v>
      </c>
      <c r="X481" s="399">
        <v>203494.44024</v>
      </c>
      <c r="Y481" s="399">
        <v>0</v>
      </c>
      <c r="Z481" s="399">
        <v>5204.8924811255292</v>
      </c>
      <c r="AA481" s="399">
        <v>0</v>
      </c>
      <c r="AB481" s="399">
        <v>0</v>
      </c>
      <c r="AC481" s="399">
        <v>0</v>
      </c>
      <c r="AD481" s="399">
        <v>78243.574719063923</v>
      </c>
      <c r="AE481" s="399">
        <v>185148.18579967096</v>
      </c>
      <c r="AF481" s="399">
        <v>13933.763863293756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925.0456816239689</v>
      </c>
      <c r="AM481" s="399"/>
      <c r="AN481" s="399">
        <v>59.232000381092107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681.60387477424672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14615.367738068002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203498.568</v>
      </c>
      <c r="CJ481" s="399">
        <v>-80697.379260000045</v>
      </c>
      <c r="CK481" s="399"/>
      <c r="CL481" s="399"/>
      <c r="CM481" s="399"/>
      <c r="CN481" s="399"/>
      <c r="CO481" s="399">
        <v>-80701.47702000002</v>
      </c>
      <c r="CP481" s="399">
        <v>0</v>
      </c>
      <c r="CQ481" s="399">
        <v>30</v>
      </c>
      <c r="CR481" s="399">
        <v>-714.52489565836731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-372.65091991350346</v>
      </c>
      <c r="DA481" s="399">
        <v>0</v>
      </c>
      <c r="DB481" s="399">
        <v>0</v>
      </c>
      <c r="DC481" s="399">
        <v>0</v>
      </c>
      <c r="DD481" s="399">
        <v>0</v>
      </c>
      <c r="DE481" s="399">
        <v>0</v>
      </c>
      <c r="DF481" s="399">
        <v>0</v>
      </c>
      <c r="DG481" s="399">
        <v>0</v>
      </c>
      <c r="DH481" s="399">
        <v>0</v>
      </c>
      <c r="DI481" s="399">
        <v>-293.26269925753604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-46.222869871806097</v>
      </c>
      <c r="DP481" s="399">
        <v>-2.3884066155194574</v>
      </c>
      <c r="DQ481" s="399">
        <v>0</v>
      </c>
      <c r="DR481" s="399">
        <v>0</v>
      </c>
      <c r="DS481" s="399"/>
      <c r="DT481" s="399"/>
      <c r="DU481" s="399"/>
      <c r="DV481" s="399">
        <v>185148.18579967096</v>
      </c>
      <c r="DW481" s="399">
        <v>0</v>
      </c>
      <c r="DX481" s="399">
        <v>0</v>
      </c>
      <c r="DY481" s="399">
        <v>-80701.47702000002</v>
      </c>
      <c r="DZ481" s="399">
        <v>0</v>
      </c>
      <c r="EA481" s="399">
        <v>0</v>
      </c>
      <c r="EB481" s="399">
        <v>0</v>
      </c>
      <c r="EC481" s="399">
        <v>-79987.605200519232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218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2361</v>
      </c>
      <c r="C482" s="399" t="s">
        <v>2334</v>
      </c>
      <c r="D482" s="399" t="s">
        <v>533</v>
      </c>
      <c r="E482" s="399" t="s">
        <v>890</v>
      </c>
      <c r="F482" s="399" t="s">
        <v>1239</v>
      </c>
      <c r="G482" s="399" t="s">
        <v>1239</v>
      </c>
      <c r="H482" s="399" t="s">
        <v>1239</v>
      </c>
      <c r="I482" s="399" t="s">
        <v>893</v>
      </c>
      <c r="J482" s="399" t="s">
        <v>2329</v>
      </c>
      <c r="K482" s="789">
        <v>44713</v>
      </c>
      <c r="L482" s="399">
        <v>0</v>
      </c>
      <c r="M482" s="399">
        <v>0</v>
      </c>
      <c r="N482" s="399">
        <v>0.34300000000000003</v>
      </c>
      <c r="O482" s="399">
        <v>0.34300000000000003</v>
      </c>
      <c r="P482" s="399">
        <v>0.34300000000000003</v>
      </c>
      <c r="Q482" s="399">
        <v>0.34300000000000003</v>
      </c>
      <c r="R482" s="399"/>
      <c r="S482" s="399">
        <v>2741.05</v>
      </c>
      <c r="T482" s="399">
        <v>141.32</v>
      </c>
      <c r="U482" s="399"/>
      <c r="V482" s="399">
        <v>988.65291000000013</v>
      </c>
      <c r="W482" s="399">
        <v>988.65291000000013</v>
      </c>
      <c r="X482" s="399">
        <v>707.91084000000001</v>
      </c>
      <c r="Y482" s="399">
        <v>0</v>
      </c>
      <c r="Z482" s="399">
        <v>18.106636250492471</v>
      </c>
      <c r="AA482" s="399">
        <v>0</v>
      </c>
      <c r="AB482" s="399">
        <v>0</v>
      </c>
      <c r="AC482" s="399">
        <v>0</v>
      </c>
      <c r="AD482" s="399">
        <v>272.19158734090882</v>
      </c>
      <c r="AE482" s="399">
        <v>644.08839661339118</v>
      </c>
      <c r="AF482" s="399">
        <v>48.472393000971209</v>
      </c>
      <c r="AG482" s="399">
        <v>0</v>
      </c>
      <c r="AH482" s="399">
        <v>0</v>
      </c>
      <c r="AI482" s="399">
        <v>0</v>
      </c>
      <c r="AJ482" s="399">
        <v>0</v>
      </c>
      <c r="AK482" s="399">
        <v>0</v>
      </c>
      <c r="AL482" s="399">
        <v>3.2180233756974927</v>
      </c>
      <c r="AM482" s="399"/>
      <c r="AN482" s="399">
        <v>0.20605464746459962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2.3711447397266339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50.84353774069784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701.7192</v>
      </c>
      <c r="CJ482" s="399">
        <v>-286.96371000000011</v>
      </c>
      <c r="CK482" s="399"/>
      <c r="CL482" s="399"/>
      <c r="CM482" s="399"/>
      <c r="CN482" s="399"/>
      <c r="CO482" s="399">
        <v>-280.74207000000013</v>
      </c>
      <c r="CP482" s="399">
        <v>0</v>
      </c>
      <c r="CQ482" s="399">
        <v>30</v>
      </c>
      <c r="CR482" s="399">
        <v>-2.4856694781924489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-1.296367730890438</v>
      </c>
      <c r="DA482" s="399">
        <v>0</v>
      </c>
      <c r="DB482" s="399">
        <v>0</v>
      </c>
      <c r="DC482" s="399">
        <v>0</v>
      </c>
      <c r="DD482" s="399">
        <v>0</v>
      </c>
      <c r="DE482" s="399">
        <v>0</v>
      </c>
      <c r="DF482" s="399">
        <v>0</v>
      </c>
      <c r="DG482" s="399">
        <v>0</v>
      </c>
      <c r="DH482" s="399">
        <v>0</v>
      </c>
      <c r="DI482" s="399">
        <v>-1.020194180869133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-0.16079884344539996</v>
      </c>
      <c r="DP482" s="399">
        <v>-8.3087229875166979E-3</v>
      </c>
      <c r="DQ482" s="399">
        <v>0</v>
      </c>
      <c r="DR482" s="399">
        <v>0</v>
      </c>
      <c r="DS482" s="399"/>
      <c r="DT482" s="399"/>
      <c r="DU482" s="399"/>
      <c r="DV482" s="399">
        <v>644.08839661339118</v>
      </c>
      <c r="DW482" s="399">
        <v>0</v>
      </c>
      <c r="DX482" s="399">
        <v>0</v>
      </c>
      <c r="DY482" s="399">
        <v>-280.74207000000013</v>
      </c>
      <c r="DZ482" s="399">
        <v>0</v>
      </c>
      <c r="EA482" s="399">
        <v>0</v>
      </c>
      <c r="EB482" s="399">
        <v>0</v>
      </c>
      <c r="EC482" s="399">
        <v>-278.25867242518206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0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218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956</v>
      </c>
      <c r="C483" s="399" t="s">
        <v>2334</v>
      </c>
      <c r="D483" s="399" t="s">
        <v>533</v>
      </c>
      <c r="E483" s="399" t="s">
        <v>890</v>
      </c>
      <c r="F483" s="399" t="s">
        <v>1239</v>
      </c>
      <c r="G483" s="399" t="s">
        <v>1239</v>
      </c>
      <c r="H483" s="399" t="s">
        <v>1239</v>
      </c>
      <c r="I483" s="399" t="s">
        <v>2326</v>
      </c>
      <c r="J483" s="399" t="s">
        <v>2329</v>
      </c>
      <c r="K483" s="789">
        <v>44713</v>
      </c>
      <c r="L483" s="399">
        <v>0</v>
      </c>
      <c r="M483" s="399">
        <v>0</v>
      </c>
      <c r="N483" s="399">
        <v>2333.8119999999999</v>
      </c>
      <c r="O483" s="399">
        <v>2333.8119999999999</v>
      </c>
      <c r="P483" s="399">
        <v>2333.8119999999999</v>
      </c>
      <c r="Q483" s="399">
        <v>2333.8119999999999</v>
      </c>
      <c r="R483" s="399"/>
      <c r="S483" s="399">
        <v>69.680000000000007</v>
      </c>
      <c r="T483" s="399">
        <v>141.32</v>
      </c>
      <c r="U483" s="399"/>
      <c r="V483" s="399">
        <v>492434.33199999999</v>
      </c>
      <c r="W483" s="399">
        <v>492434.33199999999</v>
      </c>
      <c r="X483" s="399">
        <v>484359.34247999999</v>
      </c>
      <c r="Y483" s="399">
        <v>0</v>
      </c>
      <c r="Z483" s="399">
        <v>123199.66460942953</v>
      </c>
      <c r="AA483" s="399">
        <v>0</v>
      </c>
      <c r="AB483" s="399">
        <v>0</v>
      </c>
      <c r="AC483" s="399">
        <v>0</v>
      </c>
      <c r="AD483" s="399">
        <v>0</v>
      </c>
      <c r="AE483" s="399">
        <v>0</v>
      </c>
      <c r="AF483" s="399">
        <v>329811.81473580934</v>
      </c>
      <c r="AG483" s="399">
        <v>0</v>
      </c>
      <c r="AH483" s="399">
        <v>0</v>
      </c>
      <c r="AI483" s="399">
        <v>0</v>
      </c>
      <c r="AJ483" s="399">
        <v>0</v>
      </c>
      <c r="AK483" s="399">
        <v>0</v>
      </c>
      <c r="AL483" s="399">
        <v>21895.806327939696</v>
      </c>
      <c r="AM483" s="399"/>
      <c r="AN483" s="399">
        <v>1402.019851045633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16133.54532743701</v>
      </c>
      <c r="BH483" s="399">
        <v>0</v>
      </c>
      <c r="BI483" s="399">
        <v>0</v>
      </c>
      <c r="BJ483" s="399">
        <v>0</v>
      </c>
      <c r="BK483" s="399">
        <v>0</v>
      </c>
      <c r="BL483" s="399">
        <v>0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345945.36006324633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484358.92739999999</v>
      </c>
      <c r="CJ483" s="399">
        <v>-8075.4346000000369</v>
      </c>
      <c r="CK483" s="399"/>
      <c r="CL483" s="399"/>
      <c r="CM483" s="399"/>
      <c r="CN483" s="399"/>
      <c r="CO483" s="399">
        <v>-8074.9895200000183</v>
      </c>
      <c r="CP483" s="399">
        <v>0</v>
      </c>
      <c r="CQ483" s="399">
        <v>30</v>
      </c>
      <c r="CR483" s="399">
        <v>-8092.1477827244671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0</v>
      </c>
      <c r="DA483" s="399">
        <v>0</v>
      </c>
      <c r="DB483" s="399">
        <v>0</v>
      </c>
      <c r="DC483" s="399">
        <v>0</v>
      </c>
      <c r="DD483" s="399">
        <v>0</v>
      </c>
      <c r="DE483" s="399">
        <v>0</v>
      </c>
      <c r="DF483" s="399">
        <v>0</v>
      </c>
      <c r="DG483" s="399">
        <v>0</v>
      </c>
      <c r="DH483" s="399">
        <v>0</v>
      </c>
      <c r="DI483" s="399">
        <v>-6941.5201797158952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-1094.0940828542116</v>
      </c>
      <c r="DP483" s="399">
        <v>-56.533520154350754</v>
      </c>
      <c r="DQ483" s="399">
        <v>0</v>
      </c>
      <c r="DR483" s="399">
        <v>0</v>
      </c>
      <c r="DS483" s="399"/>
      <c r="DT483" s="399"/>
      <c r="DU483" s="399"/>
      <c r="DV483" s="399">
        <v>0</v>
      </c>
      <c r="DW483" s="399">
        <v>0</v>
      </c>
      <c r="DX483" s="399">
        <v>0</v>
      </c>
      <c r="DY483" s="399">
        <v>-8074.9895200000319</v>
      </c>
      <c r="DZ483" s="399">
        <v>0</v>
      </c>
      <c r="EA483" s="399">
        <v>0</v>
      </c>
      <c r="EB483" s="399">
        <v>0</v>
      </c>
      <c r="EC483" s="399">
        <v>0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0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218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2361</v>
      </c>
      <c r="C484" s="399" t="s">
        <v>2334</v>
      </c>
      <c r="D484" s="399" t="s">
        <v>533</v>
      </c>
      <c r="E484" s="399" t="s">
        <v>890</v>
      </c>
      <c r="F484" s="399" t="s">
        <v>1239</v>
      </c>
      <c r="G484" s="399" t="s">
        <v>1239</v>
      </c>
      <c r="H484" s="399" t="s">
        <v>1239</v>
      </c>
      <c r="I484" s="399" t="s">
        <v>2326</v>
      </c>
      <c r="J484" s="399" t="s">
        <v>2329</v>
      </c>
      <c r="K484" s="789">
        <v>44713</v>
      </c>
      <c r="L484" s="399">
        <v>0</v>
      </c>
      <c r="M484" s="399">
        <v>0</v>
      </c>
      <c r="N484" s="399">
        <v>21.763999999999999</v>
      </c>
      <c r="O484" s="399">
        <v>21.763999999999999</v>
      </c>
      <c r="P484" s="399">
        <v>21.763999999999999</v>
      </c>
      <c r="Q484" s="399">
        <v>21.763999999999999</v>
      </c>
      <c r="R484" s="399"/>
      <c r="S484" s="399">
        <v>69.680000000000007</v>
      </c>
      <c r="T484" s="399">
        <v>141.32</v>
      </c>
      <c r="U484" s="399"/>
      <c r="V484" s="399">
        <v>4592.2039999999997</v>
      </c>
      <c r="W484" s="399">
        <v>4592.2039999999997</v>
      </c>
      <c r="X484" s="399">
        <v>4516.90056</v>
      </c>
      <c r="Y484" s="399">
        <v>0</v>
      </c>
      <c r="Z484" s="399">
        <v>1148.9003829612773</v>
      </c>
      <c r="AA484" s="399">
        <v>0</v>
      </c>
      <c r="AB484" s="399">
        <v>0</v>
      </c>
      <c r="AC484" s="399">
        <v>0</v>
      </c>
      <c r="AD484" s="399">
        <v>0</v>
      </c>
      <c r="AE484" s="399">
        <v>0</v>
      </c>
      <c r="AF484" s="399">
        <v>3075.6651932161435</v>
      </c>
      <c r="AG484" s="399">
        <v>0</v>
      </c>
      <c r="AH484" s="399">
        <v>0</v>
      </c>
      <c r="AI484" s="399">
        <v>0</v>
      </c>
      <c r="AJ484" s="399">
        <v>0</v>
      </c>
      <c r="AK484" s="399">
        <v>0</v>
      </c>
      <c r="AL484" s="399">
        <v>204.1896814830327</v>
      </c>
      <c r="AM484" s="399"/>
      <c r="AN484" s="399">
        <v>13.074557864196926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150.45362715863106</v>
      </c>
      <c r="BH484" s="399">
        <v>0</v>
      </c>
      <c r="BI484" s="399">
        <v>0</v>
      </c>
      <c r="BJ484" s="399">
        <v>0</v>
      </c>
      <c r="BK484" s="399">
        <v>0</v>
      </c>
      <c r="BL484" s="399">
        <v>0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3226.1188203747747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4516.0704000000005</v>
      </c>
      <c r="CJ484" s="399">
        <v>-76.16359999999986</v>
      </c>
      <c r="CK484" s="399"/>
      <c r="CL484" s="399"/>
      <c r="CM484" s="399"/>
      <c r="CN484" s="399"/>
      <c r="CO484" s="399">
        <v>-75.303440000000165</v>
      </c>
      <c r="CP484" s="399">
        <v>0</v>
      </c>
      <c r="CQ484" s="399">
        <v>30</v>
      </c>
      <c r="CR484" s="399">
        <v>-75.463449645136279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0</v>
      </c>
      <c r="DA484" s="399">
        <v>0</v>
      </c>
      <c r="DB484" s="399">
        <v>0</v>
      </c>
      <c r="DC484" s="399">
        <v>0</v>
      </c>
      <c r="DD484" s="399">
        <v>0</v>
      </c>
      <c r="DE484" s="399">
        <v>0</v>
      </c>
      <c r="DF484" s="399">
        <v>0</v>
      </c>
      <c r="DG484" s="399">
        <v>0</v>
      </c>
      <c r="DH484" s="399">
        <v>0</v>
      </c>
      <c r="DI484" s="399">
        <v>-64.733254088734157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-10.202991337450953</v>
      </c>
      <c r="DP484" s="399">
        <v>-0.52720421895135061</v>
      </c>
      <c r="DQ484" s="399">
        <v>0</v>
      </c>
      <c r="DR484" s="399">
        <v>0</v>
      </c>
      <c r="DS484" s="399"/>
      <c r="DT484" s="399"/>
      <c r="DU484" s="399"/>
      <c r="DV484" s="399">
        <v>0</v>
      </c>
      <c r="DW484" s="399">
        <v>0</v>
      </c>
      <c r="DX484" s="399">
        <v>0</v>
      </c>
      <c r="DY484" s="399">
        <v>-75.303440000000137</v>
      </c>
      <c r="DZ484" s="399">
        <v>0</v>
      </c>
      <c r="EA484" s="399">
        <v>0</v>
      </c>
      <c r="EB484" s="399">
        <v>0</v>
      </c>
      <c r="EC484" s="399">
        <v>0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218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956</v>
      </c>
      <c r="C485" s="399" t="s">
        <v>2334</v>
      </c>
      <c r="D485" s="399" t="s">
        <v>533</v>
      </c>
      <c r="E485" s="399" t="s">
        <v>890</v>
      </c>
      <c r="F485" s="399" t="s">
        <v>1239</v>
      </c>
      <c r="G485" s="399" t="s">
        <v>1239</v>
      </c>
      <c r="H485" s="399" t="s">
        <v>1239</v>
      </c>
      <c r="I485" s="399" t="s">
        <v>1239</v>
      </c>
      <c r="J485" s="399" t="s">
        <v>2329</v>
      </c>
      <c r="K485" s="789">
        <v>44713</v>
      </c>
      <c r="L485" s="399">
        <v>10878</v>
      </c>
      <c r="M485" s="399">
        <v>10878</v>
      </c>
      <c r="N485" s="399">
        <v>0</v>
      </c>
      <c r="O485" s="399">
        <v>0</v>
      </c>
      <c r="P485" s="399">
        <v>0</v>
      </c>
      <c r="Q485" s="399">
        <v>0</v>
      </c>
      <c r="R485" s="399">
        <v>35.15</v>
      </c>
      <c r="S485" s="399"/>
      <c r="T485" s="399"/>
      <c r="U485" s="399">
        <v>382361.7</v>
      </c>
      <c r="V485" s="399"/>
      <c r="W485" s="399">
        <v>382361.7</v>
      </c>
      <c r="X485" s="399">
        <v>279129.48</v>
      </c>
      <c r="Y485" s="399">
        <v>0</v>
      </c>
      <c r="Z485" s="399">
        <v>0</v>
      </c>
      <c r="AA485" s="399">
        <v>0</v>
      </c>
      <c r="AB485" s="399">
        <v>0</v>
      </c>
      <c r="AC485" s="399">
        <v>0</v>
      </c>
      <c r="AD485" s="399">
        <v>145018.67867608587</v>
      </c>
      <c r="AE485" s="399">
        <v>237335.95621311973</v>
      </c>
      <c r="AF485" s="399"/>
      <c r="AG485" s="399"/>
      <c r="AH485" s="399"/>
      <c r="AI485" s="399">
        <v>0</v>
      </c>
      <c r="AJ485" s="399">
        <v>0</v>
      </c>
      <c r="AK485" s="399">
        <v>0</v>
      </c>
      <c r="AL485" s="399">
        <v>0</v>
      </c>
      <c r="AM485" s="399"/>
      <c r="AN485" s="399">
        <v>0</v>
      </c>
      <c r="AO485" s="399">
        <v>0</v>
      </c>
      <c r="AP485" s="399">
        <v>0</v>
      </c>
      <c r="AQ485" s="399">
        <v>0</v>
      </c>
      <c r="AR485" s="399">
        <v>0</v>
      </c>
      <c r="AS485" s="399"/>
      <c r="AT485" s="399"/>
      <c r="AU485" s="399">
        <v>0</v>
      </c>
      <c r="AV485" s="399">
        <v>0</v>
      </c>
      <c r="AW485" s="399">
        <v>0</v>
      </c>
      <c r="AX485" s="399"/>
      <c r="AY485" s="399"/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/>
      <c r="BG485" s="399">
        <v>0</v>
      </c>
      <c r="BH485" s="399">
        <v>0</v>
      </c>
      <c r="BI485" s="399">
        <v>6649</v>
      </c>
      <c r="BJ485" s="399">
        <v>30688.5</v>
      </c>
      <c r="BK485" s="399">
        <v>332061.26</v>
      </c>
      <c r="BL485" s="399">
        <v>30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0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279129.48</v>
      </c>
      <c r="CJ485" s="399">
        <v>-103232.25000000006</v>
      </c>
      <c r="CK485" s="399"/>
      <c r="CL485" s="399"/>
      <c r="CM485" s="399"/>
      <c r="CN485" s="399"/>
      <c r="CO485" s="399">
        <v>-103232.21999999999</v>
      </c>
      <c r="CP485" s="399">
        <v>0</v>
      </c>
      <c r="CQ485" s="399">
        <v>30</v>
      </c>
      <c r="CR485" s="399">
        <v>-690.68091798271053</v>
      </c>
      <c r="CS485" s="399">
        <v>0</v>
      </c>
      <c r="CT485" s="399">
        <v>0</v>
      </c>
      <c r="CU485" s="399">
        <v>0</v>
      </c>
      <c r="CV485" s="399">
        <v>0</v>
      </c>
      <c r="CW485" s="399"/>
      <c r="CX485" s="399"/>
      <c r="CY485" s="399"/>
      <c r="CZ485" s="399">
        <v>-690.68091798271053</v>
      </c>
      <c r="DA485" s="399">
        <v>0</v>
      </c>
      <c r="DB485" s="399">
        <v>0</v>
      </c>
      <c r="DC485" s="399"/>
      <c r="DD485" s="399"/>
      <c r="DE485" s="399">
        <v>0</v>
      </c>
      <c r="DF485" s="399">
        <v>0</v>
      </c>
      <c r="DG485" s="399">
        <v>0</v>
      </c>
      <c r="DH485" s="399">
        <v>0</v>
      </c>
      <c r="DI485" s="399">
        <v>0</v>
      </c>
      <c r="DJ485" s="399"/>
      <c r="DK485" s="399">
        <v>0</v>
      </c>
      <c r="DL485" s="399">
        <v>0</v>
      </c>
      <c r="DM485" s="399"/>
      <c r="DN485" s="399">
        <v>0</v>
      </c>
      <c r="DO485" s="399">
        <v>0</v>
      </c>
      <c r="DP485" s="399">
        <v>0</v>
      </c>
      <c r="DQ485" s="399">
        <v>0</v>
      </c>
      <c r="DR485" s="399">
        <v>0</v>
      </c>
      <c r="DS485" s="399"/>
      <c r="DT485" s="399"/>
      <c r="DU485" s="399">
        <v>237335.95621311973</v>
      </c>
      <c r="DV485" s="399"/>
      <c r="DW485" s="399">
        <v>0</v>
      </c>
      <c r="DX485" s="399">
        <v>0</v>
      </c>
      <c r="DY485" s="399">
        <v>-103232.22000000003</v>
      </c>
      <c r="DZ485" s="399"/>
      <c r="EA485" s="399">
        <v>0</v>
      </c>
      <c r="EB485" s="399"/>
      <c r="EC485" s="399">
        <v>-102533.73363324869</v>
      </c>
      <c r="ED485" s="399"/>
      <c r="EE485" s="399">
        <v>0</v>
      </c>
      <c r="EF485" s="399">
        <v>0</v>
      </c>
      <c r="EG485" s="399"/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/>
      <c r="EN485" s="399"/>
      <c r="EO485" s="399">
        <v>0</v>
      </c>
      <c r="EP485" s="399">
        <v>0</v>
      </c>
      <c r="EQ485" s="399"/>
      <c r="ER485" s="399">
        <v>0</v>
      </c>
      <c r="ES485" s="399"/>
      <c r="ET485" s="399">
        <v>0</v>
      </c>
      <c r="EU485" s="399"/>
      <c r="EV485" s="399">
        <v>218</v>
      </c>
      <c r="EW485" s="399"/>
      <c r="EX485" s="399"/>
      <c r="EY485" s="399"/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2361</v>
      </c>
      <c r="C486" s="399" t="s">
        <v>2334</v>
      </c>
      <c r="D486" s="399" t="s">
        <v>533</v>
      </c>
      <c r="E486" s="399" t="s">
        <v>890</v>
      </c>
      <c r="F486" s="399" t="s">
        <v>1239</v>
      </c>
      <c r="G486" s="399" t="s">
        <v>1239</v>
      </c>
      <c r="H486" s="399" t="s">
        <v>1239</v>
      </c>
      <c r="I486" s="399" t="s">
        <v>1239</v>
      </c>
      <c r="J486" s="399" t="s">
        <v>2329</v>
      </c>
      <c r="K486" s="789">
        <v>44713</v>
      </c>
      <c r="L486" s="399">
        <v>440</v>
      </c>
      <c r="M486" s="399">
        <v>440</v>
      </c>
      <c r="N486" s="399">
        <v>0</v>
      </c>
      <c r="O486" s="399">
        <v>0</v>
      </c>
      <c r="P486" s="399">
        <v>0</v>
      </c>
      <c r="Q486" s="399">
        <v>0</v>
      </c>
      <c r="R486" s="399">
        <v>35.15</v>
      </c>
      <c r="S486" s="399"/>
      <c r="T486" s="399"/>
      <c r="U486" s="399">
        <v>15466</v>
      </c>
      <c r="V486" s="399"/>
      <c r="W486" s="399">
        <v>15466</v>
      </c>
      <c r="X486" s="399">
        <v>11290.4</v>
      </c>
      <c r="Y486" s="399">
        <v>0</v>
      </c>
      <c r="Z486" s="399">
        <v>0</v>
      </c>
      <c r="AA486" s="399">
        <v>0</v>
      </c>
      <c r="AB486" s="399">
        <v>0</v>
      </c>
      <c r="AC486" s="399">
        <v>0</v>
      </c>
      <c r="AD486" s="399">
        <v>5865.804248710956</v>
      </c>
      <c r="AE486" s="399">
        <v>9599.9099773646521</v>
      </c>
      <c r="AF486" s="399"/>
      <c r="AG486" s="399"/>
      <c r="AH486" s="399"/>
      <c r="AI486" s="399">
        <v>0</v>
      </c>
      <c r="AJ486" s="399">
        <v>0</v>
      </c>
      <c r="AK486" s="399">
        <v>0</v>
      </c>
      <c r="AL486" s="399">
        <v>0</v>
      </c>
      <c r="AM486" s="399"/>
      <c r="AN486" s="399">
        <v>0</v>
      </c>
      <c r="AO486" s="399">
        <v>0</v>
      </c>
      <c r="AP486" s="399">
        <v>0</v>
      </c>
      <c r="AQ486" s="399">
        <v>0</v>
      </c>
      <c r="AR486" s="399">
        <v>0</v>
      </c>
      <c r="AS486" s="399"/>
      <c r="AT486" s="399"/>
      <c r="AU486" s="399">
        <v>0</v>
      </c>
      <c r="AV486" s="399">
        <v>0</v>
      </c>
      <c r="AW486" s="399">
        <v>0</v>
      </c>
      <c r="AX486" s="399"/>
      <c r="AY486" s="399"/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/>
      <c r="BG486" s="399">
        <v>0</v>
      </c>
      <c r="BH486" s="399">
        <v>0</v>
      </c>
      <c r="BI486" s="399">
        <v>114.08</v>
      </c>
      <c r="BJ486" s="399">
        <v>526.55999999999995</v>
      </c>
      <c r="BK486" s="399">
        <v>6895.12</v>
      </c>
      <c r="BL486" s="399">
        <v>2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0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11290.4</v>
      </c>
      <c r="CJ486" s="399">
        <v>-4175.630000000001</v>
      </c>
      <c r="CK486" s="399"/>
      <c r="CL486" s="399"/>
      <c r="CM486" s="399"/>
      <c r="CN486" s="399"/>
      <c r="CO486" s="399">
        <v>-4175.5999999999995</v>
      </c>
      <c r="CP486" s="399">
        <v>0</v>
      </c>
      <c r="CQ486" s="399">
        <v>30</v>
      </c>
      <c r="CR486" s="399">
        <v>-27.937084382459943</v>
      </c>
      <c r="CS486" s="399">
        <v>0</v>
      </c>
      <c r="CT486" s="399">
        <v>0</v>
      </c>
      <c r="CU486" s="399">
        <v>0</v>
      </c>
      <c r="CV486" s="399">
        <v>0</v>
      </c>
      <c r="CW486" s="399"/>
      <c r="CX486" s="399"/>
      <c r="CY486" s="399"/>
      <c r="CZ486" s="399">
        <v>-27.937084382459943</v>
      </c>
      <c r="DA486" s="399">
        <v>0</v>
      </c>
      <c r="DB486" s="399">
        <v>0</v>
      </c>
      <c r="DC486" s="399"/>
      <c r="DD486" s="399"/>
      <c r="DE486" s="399">
        <v>0</v>
      </c>
      <c r="DF486" s="399">
        <v>0</v>
      </c>
      <c r="DG486" s="399">
        <v>0</v>
      </c>
      <c r="DH486" s="399">
        <v>0</v>
      </c>
      <c r="DI486" s="399">
        <v>0</v>
      </c>
      <c r="DJ486" s="399"/>
      <c r="DK486" s="399">
        <v>0</v>
      </c>
      <c r="DL486" s="399">
        <v>0</v>
      </c>
      <c r="DM486" s="399"/>
      <c r="DN486" s="399">
        <v>0</v>
      </c>
      <c r="DO486" s="399">
        <v>0</v>
      </c>
      <c r="DP486" s="399">
        <v>0</v>
      </c>
      <c r="DQ486" s="399">
        <v>0</v>
      </c>
      <c r="DR486" s="399">
        <v>0</v>
      </c>
      <c r="DS486" s="399"/>
      <c r="DT486" s="399"/>
      <c r="DU486" s="399">
        <v>9599.9099773646521</v>
      </c>
      <c r="DV486" s="399"/>
      <c r="DW486" s="399">
        <v>0</v>
      </c>
      <c r="DX486" s="399">
        <v>0</v>
      </c>
      <c r="DY486" s="399">
        <v>-4175.6000000000004</v>
      </c>
      <c r="DZ486" s="399"/>
      <c r="EA486" s="399">
        <v>0</v>
      </c>
      <c r="EB486" s="399"/>
      <c r="EC486" s="399">
        <v>-4147.3471960497727</v>
      </c>
      <c r="ED486" s="399"/>
      <c r="EE486" s="399">
        <v>0</v>
      </c>
      <c r="EF486" s="399">
        <v>0</v>
      </c>
      <c r="EG486" s="399"/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/>
      <c r="EN486" s="399"/>
      <c r="EO486" s="399">
        <v>0</v>
      </c>
      <c r="EP486" s="399">
        <v>0</v>
      </c>
      <c r="EQ486" s="399"/>
      <c r="ER486" s="399">
        <v>0</v>
      </c>
      <c r="ES486" s="399"/>
      <c r="ET486" s="399">
        <v>0</v>
      </c>
      <c r="EU486" s="399"/>
      <c r="EV486" s="399">
        <v>218</v>
      </c>
      <c r="EW486" s="399"/>
      <c r="EX486" s="399"/>
      <c r="EY486" s="399"/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956</v>
      </c>
      <c r="C487" s="399" t="s">
        <v>2328</v>
      </c>
      <c r="D487" s="399" t="s">
        <v>1826</v>
      </c>
      <c r="E487" s="399" t="s">
        <v>918</v>
      </c>
      <c r="F487" s="399" t="s">
        <v>1239</v>
      </c>
      <c r="G487" s="399" t="s">
        <v>1239</v>
      </c>
      <c r="H487" s="399" t="s">
        <v>1239</v>
      </c>
      <c r="I487" s="399" t="s">
        <v>1239</v>
      </c>
      <c r="J487" s="399" t="s">
        <v>2329</v>
      </c>
      <c r="K487" s="789">
        <v>44713</v>
      </c>
      <c r="L487" s="399">
        <v>0</v>
      </c>
      <c r="M487" s="399">
        <v>0</v>
      </c>
      <c r="N487" s="399">
        <v>209.62200000000001</v>
      </c>
      <c r="O487" s="399">
        <v>209.62200000000001</v>
      </c>
      <c r="P487" s="399">
        <v>209.62200000000001</v>
      </c>
      <c r="Q487" s="399">
        <v>209.62200000000001</v>
      </c>
      <c r="R487" s="399"/>
      <c r="S487" s="399">
        <v>521.86</v>
      </c>
      <c r="T487" s="399">
        <v>141.32</v>
      </c>
      <c r="U487" s="399"/>
      <c r="V487" s="399">
        <v>139017.11796</v>
      </c>
      <c r="W487" s="399">
        <v>139017.11796</v>
      </c>
      <c r="X487" s="399">
        <v>108653.37126</v>
      </c>
      <c r="Y487" s="399">
        <v>0</v>
      </c>
      <c r="Z487" s="399">
        <v>12719.243001577468</v>
      </c>
      <c r="AA487" s="399">
        <v>0</v>
      </c>
      <c r="AB487" s="399">
        <v>0</v>
      </c>
      <c r="AC487" s="399">
        <v>0</v>
      </c>
      <c r="AD487" s="399">
        <v>22545.643129642951</v>
      </c>
      <c r="AE487" s="399">
        <v>68116.835519732063</v>
      </c>
      <c r="AF487" s="399">
        <v>29623.556751164975</v>
      </c>
      <c r="AG487" s="399">
        <v>0</v>
      </c>
      <c r="AH487" s="399">
        <v>0</v>
      </c>
      <c r="AI487" s="399">
        <v>0</v>
      </c>
      <c r="AJ487" s="399">
        <v>0</v>
      </c>
      <c r="AK487" s="399">
        <v>0</v>
      </c>
      <c r="AL487" s="399">
        <v>1966.6720001762676</v>
      </c>
      <c r="AM487" s="399"/>
      <c r="AN487" s="399">
        <v>290.71776792355365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3753.2605308611505</v>
      </c>
      <c r="BH487" s="399">
        <v>0</v>
      </c>
      <c r="BI487" s="399">
        <v>729.82</v>
      </c>
      <c r="BJ487" s="399">
        <v>3382.92</v>
      </c>
      <c r="BK487" s="399">
        <v>37099.839999999997</v>
      </c>
      <c r="BL487" s="399">
        <v>591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33376.817282026124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108652.3346</v>
      </c>
      <c r="CJ487" s="399">
        <v>-30364.813360000029</v>
      </c>
      <c r="CK487" s="399"/>
      <c r="CL487" s="399"/>
      <c r="CM487" s="399"/>
      <c r="CN487" s="399"/>
      <c r="CO487" s="399">
        <v>-30363.746700000007</v>
      </c>
      <c r="CP487" s="399">
        <v>0</v>
      </c>
      <c r="CQ487" s="399">
        <v>30</v>
      </c>
      <c r="CR487" s="399">
        <v>-934.0205767230218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-107.37820559023021</v>
      </c>
      <c r="DA487" s="399">
        <v>0</v>
      </c>
      <c r="DB487" s="399">
        <v>0</v>
      </c>
      <c r="DC487" s="399">
        <v>0</v>
      </c>
      <c r="DD487" s="399">
        <v>0</v>
      </c>
      <c r="DE487" s="399">
        <v>0</v>
      </c>
      <c r="DF487" s="399">
        <v>0</v>
      </c>
      <c r="DG487" s="399">
        <v>0</v>
      </c>
      <c r="DH487" s="399">
        <v>0</v>
      </c>
      <c r="DI487" s="399">
        <v>-716.64872015731089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-98.271064608488587</v>
      </c>
      <c r="DP487" s="399">
        <v>-11.722586367000929</v>
      </c>
      <c r="DQ487" s="399">
        <v>0</v>
      </c>
      <c r="DR487" s="399">
        <v>0</v>
      </c>
      <c r="DS487" s="399"/>
      <c r="DT487" s="399"/>
      <c r="DU487" s="399"/>
      <c r="DV487" s="399">
        <v>68116.835519732063</v>
      </c>
      <c r="DW487" s="399">
        <v>0</v>
      </c>
      <c r="DX487" s="399">
        <v>0</v>
      </c>
      <c r="DY487" s="399">
        <v>-30363.746700000018</v>
      </c>
      <c r="DZ487" s="399">
        <v>0</v>
      </c>
      <c r="EA487" s="399">
        <v>0</v>
      </c>
      <c r="EB487" s="399">
        <v>0</v>
      </c>
      <c r="EC487" s="399">
        <v>-29427.79332958872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218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2361</v>
      </c>
      <c r="C488" s="399" t="s">
        <v>2328</v>
      </c>
      <c r="D488" s="399" t="s">
        <v>1826</v>
      </c>
      <c r="E488" s="399" t="s">
        <v>918</v>
      </c>
      <c r="F488" s="399" t="s">
        <v>1239</v>
      </c>
      <c r="G488" s="399" t="s">
        <v>1239</v>
      </c>
      <c r="H488" s="399" t="s">
        <v>1239</v>
      </c>
      <c r="I488" s="399" t="s">
        <v>1239</v>
      </c>
      <c r="J488" s="399" t="s">
        <v>2329</v>
      </c>
      <c r="K488" s="789">
        <v>44713</v>
      </c>
      <c r="L488" s="399">
        <v>0</v>
      </c>
      <c r="M488" s="399">
        <v>0</v>
      </c>
      <c r="N488" s="399">
        <v>11.952999999999999</v>
      </c>
      <c r="O488" s="399">
        <v>11.952999999999999</v>
      </c>
      <c r="P488" s="399">
        <v>11.952999999999999</v>
      </c>
      <c r="Q488" s="399">
        <v>11.952999999999999</v>
      </c>
      <c r="R488" s="399"/>
      <c r="S488" s="399">
        <v>521.86</v>
      </c>
      <c r="T488" s="399">
        <v>141.32</v>
      </c>
      <c r="U488" s="399"/>
      <c r="V488" s="399">
        <v>7926.9905399999998</v>
      </c>
      <c r="W488" s="399">
        <v>7926.9905399999998</v>
      </c>
      <c r="X488" s="399">
        <v>6195.5984899999994</v>
      </c>
      <c r="Y488" s="399">
        <v>0</v>
      </c>
      <c r="Z488" s="399">
        <v>725.27268892509107</v>
      </c>
      <c r="AA488" s="399">
        <v>0</v>
      </c>
      <c r="AB488" s="399">
        <v>0</v>
      </c>
      <c r="AC488" s="399">
        <v>0</v>
      </c>
      <c r="AD488" s="399">
        <v>1285.5905979745548</v>
      </c>
      <c r="AE488" s="399">
        <v>3884.1368509381523</v>
      </c>
      <c r="AF488" s="399">
        <v>1689.1851706723287</v>
      </c>
      <c r="AG488" s="399">
        <v>0</v>
      </c>
      <c r="AH488" s="399">
        <v>0</v>
      </c>
      <c r="AI488" s="399">
        <v>0</v>
      </c>
      <c r="AJ488" s="399">
        <v>0</v>
      </c>
      <c r="AK488" s="399">
        <v>0</v>
      </c>
      <c r="AL488" s="399">
        <v>112.14295454726566</v>
      </c>
      <c r="AM488" s="399"/>
      <c r="AN488" s="399">
        <v>16.577217467585637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214.01724592544355</v>
      </c>
      <c r="BH488" s="399">
        <v>0</v>
      </c>
      <c r="BI488" s="399">
        <v>41.55</v>
      </c>
      <c r="BJ488" s="399">
        <v>192.98</v>
      </c>
      <c r="BK488" s="399">
        <v>4634.46</v>
      </c>
      <c r="BL488" s="399">
        <v>32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1903.2024165977723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6194.0434999999998</v>
      </c>
      <c r="CJ488" s="399">
        <v>-1732.9770400000007</v>
      </c>
      <c r="CK488" s="399"/>
      <c r="CL488" s="399"/>
      <c r="CM488" s="399"/>
      <c r="CN488" s="399"/>
      <c r="CO488" s="399">
        <v>-1731.3920500000002</v>
      </c>
      <c r="CP488" s="399">
        <v>0</v>
      </c>
      <c r="CQ488" s="399">
        <v>30</v>
      </c>
      <c r="CR488" s="399">
        <v>-53.259428655248485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-6.1228863927451584</v>
      </c>
      <c r="DA488" s="399">
        <v>0</v>
      </c>
      <c r="DB488" s="399">
        <v>0</v>
      </c>
      <c r="DC488" s="399">
        <v>0</v>
      </c>
      <c r="DD488" s="399">
        <v>0</v>
      </c>
      <c r="DE488" s="399">
        <v>0</v>
      </c>
      <c r="DF488" s="399">
        <v>0</v>
      </c>
      <c r="DG488" s="399">
        <v>0</v>
      </c>
      <c r="DH488" s="399">
        <v>0</v>
      </c>
      <c r="DI488" s="399">
        <v>-40.864518762535909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-5.6035818533611064</v>
      </c>
      <c r="DP488" s="399">
        <v>-0.66844164660561489</v>
      </c>
      <c r="DQ488" s="399">
        <v>0</v>
      </c>
      <c r="DR488" s="399">
        <v>0</v>
      </c>
      <c r="DS488" s="399"/>
      <c r="DT488" s="399"/>
      <c r="DU488" s="399"/>
      <c r="DV488" s="399">
        <v>3884.1368509381523</v>
      </c>
      <c r="DW488" s="399">
        <v>0</v>
      </c>
      <c r="DX488" s="399">
        <v>0</v>
      </c>
      <c r="DY488" s="399">
        <v>-1731.3920500000004</v>
      </c>
      <c r="DZ488" s="399">
        <v>0</v>
      </c>
      <c r="EA488" s="399">
        <v>0</v>
      </c>
      <c r="EB488" s="399">
        <v>0</v>
      </c>
      <c r="EC488" s="399">
        <v>-1678.0224101886924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0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218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956</v>
      </c>
      <c r="C489" s="399" t="s">
        <v>2334</v>
      </c>
      <c r="D489" s="399" t="s">
        <v>533</v>
      </c>
      <c r="E489" s="399" t="s">
        <v>918</v>
      </c>
      <c r="F489" s="399" t="s">
        <v>1239</v>
      </c>
      <c r="G489" s="399" t="s">
        <v>1239</v>
      </c>
      <c r="H489" s="399" t="s">
        <v>1239</v>
      </c>
      <c r="I489" s="399" t="s">
        <v>893</v>
      </c>
      <c r="J489" s="399" t="s">
        <v>2329</v>
      </c>
      <c r="K489" s="789">
        <v>44713</v>
      </c>
      <c r="L489" s="399">
        <v>0</v>
      </c>
      <c r="M489" s="399">
        <v>0</v>
      </c>
      <c r="N489" s="399">
        <v>2.2669999999999999</v>
      </c>
      <c r="O489" s="399">
        <v>2.2669999999999999</v>
      </c>
      <c r="P489" s="399">
        <v>2.2669999999999999</v>
      </c>
      <c r="Q489" s="399">
        <v>2.2669999999999999</v>
      </c>
      <c r="R489" s="399"/>
      <c r="S489" s="399">
        <v>2741.05</v>
      </c>
      <c r="T489" s="399">
        <v>141.32</v>
      </c>
      <c r="U489" s="399"/>
      <c r="V489" s="399">
        <v>6534.3327900000004</v>
      </c>
      <c r="W489" s="399">
        <v>6534.3327900000004</v>
      </c>
      <c r="X489" s="399">
        <v>4678.8159599999999</v>
      </c>
      <c r="Y489" s="399">
        <v>0</v>
      </c>
      <c r="Z489" s="399">
        <v>119.67272413955226</v>
      </c>
      <c r="AA489" s="399">
        <v>0</v>
      </c>
      <c r="AB489" s="399">
        <v>0</v>
      </c>
      <c r="AC489" s="399">
        <v>0</v>
      </c>
      <c r="AD489" s="399">
        <v>1799.0038731832076</v>
      </c>
      <c r="AE489" s="399">
        <v>4256.9924056051241</v>
      </c>
      <c r="AF489" s="399">
        <v>320.3700143825123</v>
      </c>
      <c r="AG489" s="399">
        <v>0</v>
      </c>
      <c r="AH489" s="399">
        <v>0</v>
      </c>
      <c r="AI489" s="399">
        <v>0</v>
      </c>
      <c r="AJ489" s="399">
        <v>0</v>
      </c>
      <c r="AK489" s="399">
        <v>0</v>
      </c>
      <c r="AL489" s="399">
        <v>21.268976655120159</v>
      </c>
      <c r="AM489" s="399"/>
      <c r="AN489" s="399">
        <v>1.3618830489861438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15.671676749155331</v>
      </c>
      <c r="BH489" s="399">
        <v>0</v>
      </c>
      <c r="BI489" s="399">
        <v>0</v>
      </c>
      <c r="BJ489" s="399">
        <v>0</v>
      </c>
      <c r="BK489" s="399">
        <v>0</v>
      </c>
      <c r="BL489" s="399">
        <v>0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336.04169113166762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4685.0075999999999</v>
      </c>
      <c r="CJ489" s="399">
        <v>-1849.3551900000011</v>
      </c>
      <c r="CK489" s="399"/>
      <c r="CL489" s="399"/>
      <c r="CM489" s="399"/>
      <c r="CN489" s="399"/>
      <c r="CO489" s="399">
        <v>-1855.5168300000005</v>
      </c>
      <c r="CP489" s="399">
        <v>0</v>
      </c>
      <c r="CQ489" s="399">
        <v>30</v>
      </c>
      <c r="CR489" s="399">
        <v>-16.428608475400324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-8.5681214167013877</v>
      </c>
      <c r="DA489" s="399">
        <v>0</v>
      </c>
      <c r="DB489" s="399">
        <v>0</v>
      </c>
      <c r="DC489" s="399">
        <v>0</v>
      </c>
      <c r="DD489" s="399">
        <v>0</v>
      </c>
      <c r="DE489" s="399">
        <v>0</v>
      </c>
      <c r="DF489" s="399">
        <v>0</v>
      </c>
      <c r="DG489" s="399">
        <v>0</v>
      </c>
      <c r="DH489" s="399">
        <v>0</v>
      </c>
      <c r="DI489" s="399">
        <v>-6.7427994403216474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-1.0627725308767388</v>
      </c>
      <c r="DP489" s="399">
        <v>-5.4915087500584159E-2</v>
      </c>
      <c r="DQ489" s="399">
        <v>0</v>
      </c>
      <c r="DR489" s="399">
        <v>0</v>
      </c>
      <c r="DS489" s="399"/>
      <c r="DT489" s="399"/>
      <c r="DU489" s="399"/>
      <c r="DV489" s="399">
        <v>4256.9924056051241</v>
      </c>
      <c r="DW489" s="399">
        <v>0</v>
      </c>
      <c r="DX489" s="399">
        <v>0</v>
      </c>
      <c r="DY489" s="399">
        <v>-1855.5168300000005</v>
      </c>
      <c r="DZ489" s="399">
        <v>0</v>
      </c>
      <c r="EA489" s="399">
        <v>0</v>
      </c>
      <c r="EB489" s="399">
        <v>0</v>
      </c>
      <c r="EC489" s="399">
        <v>-1839.1032372824711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0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218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956</v>
      </c>
      <c r="C490" s="399" t="s">
        <v>2334</v>
      </c>
      <c r="D490" s="399" t="s">
        <v>533</v>
      </c>
      <c r="E490" s="399" t="s">
        <v>918</v>
      </c>
      <c r="F490" s="399" t="s">
        <v>1239</v>
      </c>
      <c r="G490" s="399" t="s">
        <v>1239</v>
      </c>
      <c r="H490" s="399" t="s">
        <v>1239</v>
      </c>
      <c r="I490" s="399" t="s">
        <v>2326</v>
      </c>
      <c r="J490" s="399" t="s">
        <v>2329</v>
      </c>
      <c r="K490" s="789">
        <v>44713</v>
      </c>
      <c r="L490" s="399">
        <v>0</v>
      </c>
      <c r="M490" s="399">
        <v>0</v>
      </c>
      <c r="N490" s="399">
        <v>34.792000000000002</v>
      </c>
      <c r="O490" s="399">
        <v>34.792000000000002</v>
      </c>
      <c r="P490" s="399">
        <v>34.792000000000002</v>
      </c>
      <c r="Q490" s="399">
        <v>34.792000000000002</v>
      </c>
      <c r="R490" s="399"/>
      <c r="S490" s="399">
        <v>69.680000000000007</v>
      </c>
      <c r="T490" s="399">
        <v>141.32</v>
      </c>
      <c r="U490" s="399"/>
      <c r="V490" s="399">
        <v>7341.112000000001</v>
      </c>
      <c r="W490" s="399">
        <v>7341.112000000001</v>
      </c>
      <c r="X490" s="399">
        <v>7220.7316800000008</v>
      </c>
      <c r="Y490" s="399">
        <v>0</v>
      </c>
      <c r="Z490" s="399">
        <v>1836.6358263181751</v>
      </c>
      <c r="AA490" s="399">
        <v>0</v>
      </c>
      <c r="AB490" s="399">
        <v>0</v>
      </c>
      <c r="AC490" s="399">
        <v>0</v>
      </c>
      <c r="AD490" s="399">
        <v>0</v>
      </c>
      <c r="AE490" s="399">
        <v>0</v>
      </c>
      <c r="AF490" s="399">
        <v>4916.7682136728572</v>
      </c>
      <c r="AG490" s="399">
        <v>0</v>
      </c>
      <c r="AH490" s="399">
        <v>0</v>
      </c>
      <c r="AI490" s="399">
        <v>0</v>
      </c>
      <c r="AJ490" s="399">
        <v>0</v>
      </c>
      <c r="AK490" s="399">
        <v>0</v>
      </c>
      <c r="AL490" s="399">
        <v>326.41827780544361</v>
      </c>
      <c r="AM490" s="399"/>
      <c r="AN490" s="399">
        <v>20.901030013377113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240.51564951769402</v>
      </c>
      <c r="BH490" s="399">
        <v>0</v>
      </c>
      <c r="BI490" s="399">
        <v>0</v>
      </c>
      <c r="BJ490" s="399">
        <v>0</v>
      </c>
      <c r="BK490" s="399">
        <v>0</v>
      </c>
      <c r="BL490" s="399">
        <v>0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5157.2838631905515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7220.3166000000001</v>
      </c>
      <c r="CJ490" s="399">
        <v>-120.82540000000154</v>
      </c>
      <c r="CK490" s="399"/>
      <c r="CL490" s="399"/>
      <c r="CM490" s="399"/>
      <c r="CN490" s="399"/>
      <c r="CO490" s="399">
        <v>-120.38032000000028</v>
      </c>
      <c r="CP490" s="399">
        <v>0</v>
      </c>
      <c r="CQ490" s="399">
        <v>30</v>
      </c>
      <c r="CR490" s="399">
        <v>-120.63611193041561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0</v>
      </c>
      <c r="DA490" s="399">
        <v>0</v>
      </c>
      <c r="DB490" s="399">
        <v>0</v>
      </c>
      <c r="DC490" s="399">
        <v>0</v>
      </c>
      <c r="DD490" s="399">
        <v>0</v>
      </c>
      <c r="DE490" s="399">
        <v>0</v>
      </c>
      <c r="DF490" s="399">
        <v>0</v>
      </c>
      <c r="DG490" s="399">
        <v>0</v>
      </c>
      <c r="DH490" s="399">
        <v>0</v>
      </c>
      <c r="DI490" s="399">
        <v>-103.48278699941375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-16.310534580619105</v>
      </c>
      <c r="DP490" s="399">
        <v>-0.84279035038391115</v>
      </c>
      <c r="DQ490" s="399">
        <v>0</v>
      </c>
      <c r="DR490" s="399">
        <v>0</v>
      </c>
      <c r="DS490" s="399"/>
      <c r="DT490" s="399"/>
      <c r="DU490" s="399"/>
      <c r="DV490" s="399">
        <v>0</v>
      </c>
      <c r="DW490" s="399">
        <v>0</v>
      </c>
      <c r="DX490" s="399">
        <v>0</v>
      </c>
      <c r="DY490" s="399">
        <v>-120.38032000000021</v>
      </c>
      <c r="DZ490" s="399">
        <v>0</v>
      </c>
      <c r="EA490" s="399">
        <v>0</v>
      </c>
      <c r="EB490" s="399">
        <v>0</v>
      </c>
      <c r="EC490" s="399">
        <v>0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0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218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956</v>
      </c>
      <c r="C491" s="399" t="s">
        <v>2334</v>
      </c>
      <c r="D491" s="399" t="s">
        <v>533</v>
      </c>
      <c r="E491" s="399" t="s">
        <v>918</v>
      </c>
      <c r="F491" s="399" t="s">
        <v>1239</v>
      </c>
      <c r="G491" s="399" t="s">
        <v>1239</v>
      </c>
      <c r="H491" s="399" t="s">
        <v>1239</v>
      </c>
      <c r="I491" s="399" t="s">
        <v>1239</v>
      </c>
      <c r="J491" s="399" t="s">
        <v>2329</v>
      </c>
      <c r="K491" s="789">
        <v>44713</v>
      </c>
      <c r="L491" s="399">
        <v>326</v>
      </c>
      <c r="M491" s="399">
        <v>326</v>
      </c>
      <c r="N491" s="399">
        <v>0</v>
      </c>
      <c r="O491" s="399">
        <v>0</v>
      </c>
      <c r="P491" s="399">
        <v>0</v>
      </c>
      <c r="Q491" s="399">
        <v>0</v>
      </c>
      <c r="R491" s="399">
        <v>35.15</v>
      </c>
      <c r="S491" s="399"/>
      <c r="T491" s="399"/>
      <c r="U491" s="399">
        <v>11458.9</v>
      </c>
      <c r="V491" s="399"/>
      <c r="W491" s="399">
        <v>11458.9</v>
      </c>
      <c r="X491" s="399">
        <v>8365.16</v>
      </c>
      <c r="Y491" s="399">
        <v>0</v>
      </c>
      <c r="Z491" s="399">
        <v>0</v>
      </c>
      <c r="AA491" s="399">
        <v>0</v>
      </c>
      <c r="AB491" s="399">
        <v>0</v>
      </c>
      <c r="AC491" s="399">
        <v>0</v>
      </c>
      <c r="AD491" s="399">
        <v>4346.0276933631176</v>
      </c>
      <c r="AE491" s="399">
        <v>7112.6605741383555</v>
      </c>
      <c r="AF491" s="399"/>
      <c r="AG491" s="399"/>
      <c r="AH491" s="399"/>
      <c r="AI491" s="399">
        <v>0</v>
      </c>
      <c r="AJ491" s="399">
        <v>0</v>
      </c>
      <c r="AK491" s="399">
        <v>0</v>
      </c>
      <c r="AL491" s="399">
        <v>0</v>
      </c>
      <c r="AM491" s="399"/>
      <c r="AN491" s="399">
        <v>0</v>
      </c>
      <c r="AO491" s="399">
        <v>0</v>
      </c>
      <c r="AP491" s="399">
        <v>0</v>
      </c>
      <c r="AQ491" s="399">
        <v>0</v>
      </c>
      <c r="AR491" s="399">
        <v>0</v>
      </c>
      <c r="AS491" s="399"/>
      <c r="AT491" s="399"/>
      <c r="AU491" s="399">
        <v>0</v>
      </c>
      <c r="AV491" s="399">
        <v>0</v>
      </c>
      <c r="AW491" s="399">
        <v>0</v>
      </c>
      <c r="AX491" s="399"/>
      <c r="AY491" s="399"/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/>
      <c r="BG491" s="399">
        <v>0</v>
      </c>
      <c r="BH491" s="399">
        <v>0</v>
      </c>
      <c r="BI491" s="399">
        <v>144.66999999999999</v>
      </c>
      <c r="BJ491" s="399">
        <v>667.71</v>
      </c>
      <c r="BK491" s="399">
        <v>7312.6</v>
      </c>
      <c r="BL491" s="399">
        <v>3</v>
      </c>
      <c r="BM491" s="399"/>
      <c r="BN491" s="399"/>
      <c r="BO491" s="399"/>
      <c r="BP491" s="399"/>
      <c r="BQ491" s="399"/>
      <c r="BR491" s="399"/>
      <c r="BS491" s="399"/>
      <c r="BT491" s="399"/>
      <c r="BU491" s="399"/>
      <c r="BV491" s="399">
        <v>0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8365.16</v>
      </c>
      <c r="CJ491" s="399">
        <v>-3093.7700000000004</v>
      </c>
      <c r="CK491" s="399"/>
      <c r="CL491" s="399"/>
      <c r="CM491" s="399"/>
      <c r="CN491" s="399"/>
      <c r="CO491" s="399">
        <v>-3093.7399999999993</v>
      </c>
      <c r="CP491" s="399">
        <v>0</v>
      </c>
      <c r="CQ491" s="399">
        <v>30</v>
      </c>
      <c r="CR491" s="399">
        <v>-20.698839792458784</v>
      </c>
      <c r="CS491" s="399">
        <v>0</v>
      </c>
      <c r="CT491" s="399">
        <v>0</v>
      </c>
      <c r="CU491" s="399">
        <v>0</v>
      </c>
      <c r="CV491" s="399">
        <v>0</v>
      </c>
      <c r="CW491" s="399"/>
      <c r="CX491" s="399"/>
      <c r="CY491" s="399"/>
      <c r="CZ491" s="399">
        <v>-20.698839792458784</v>
      </c>
      <c r="DA491" s="399">
        <v>0</v>
      </c>
      <c r="DB491" s="399">
        <v>0</v>
      </c>
      <c r="DC491" s="399"/>
      <c r="DD491" s="399"/>
      <c r="DE491" s="399">
        <v>0</v>
      </c>
      <c r="DF491" s="399">
        <v>0</v>
      </c>
      <c r="DG491" s="399">
        <v>0</v>
      </c>
      <c r="DH491" s="399">
        <v>0</v>
      </c>
      <c r="DI491" s="399">
        <v>0</v>
      </c>
      <c r="DJ491" s="399"/>
      <c r="DK491" s="399">
        <v>0</v>
      </c>
      <c r="DL491" s="399">
        <v>0</v>
      </c>
      <c r="DM491" s="399"/>
      <c r="DN491" s="399">
        <v>0</v>
      </c>
      <c r="DO491" s="399">
        <v>0</v>
      </c>
      <c r="DP491" s="399">
        <v>0</v>
      </c>
      <c r="DQ491" s="399">
        <v>0</v>
      </c>
      <c r="DR491" s="399">
        <v>0</v>
      </c>
      <c r="DS491" s="399"/>
      <c r="DT491" s="399"/>
      <c r="DU491" s="399">
        <v>7112.6605741383555</v>
      </c>
      <c r="DV491" s="399"/>
      <c r="DW491" s="399">
        <v>0</v>
      </c>
      <c r="DX491" s="399">
        <v>0</v>
      </c>
      <c r="DY491" s="399">
        <v>-3093.74</v>
      </c>
      <c r="DZ491" s="399"/>
      <c r="EA491" s="399">
        <v>0</v>
      </c>
      <c r="EB491" s="399"/>
      <c r="EC491" s="399">
        <v>-3072.8072407096038</v>
      </c>
      <c r="ED491" s="399"/>
      <c r="EE491" s="399">
        <v>0</v>
      </c>
      <c r="EF491" s="399">
        <v>0</v>
      </c>
      <c r="EG491" s="399"/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/>
      <c r="EN491" s="399"/>
      <c r="EO491" s="399">
        <v>0</v>
      </c>
      <c r="EP491" s="399">
        <v>0</v>
      </c>
      <c r="EQ491" s="399"/>
      <c r="ER491" s="399">
        <v>0</v>
      </c>
      <c r="ES491" s="399"/>
      <c r="ET491" s="399">
        <v>0</v>
      </c>
      <c r="EU491" s="399"/>
      <c r="EV491" s="399">
        <v>218</v>
      </c>
      <c r="EW491" s="399"/>
      <c r="EX491" s="399"/>
      <c r="EY491" s="399"/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956</v>
      </c>
      <c r="C492" s="399" t="s">
        <v>2328</v>
      </c>
      <c r="D492" s="399" t="s">
        <v>2335</v>
      </c>
      <c r="E492" s="399" t="s">
        <v>894</v>
      </c>
      <c r="F492" s="399" t="s">
        <v>1239</v>
      </c>
      <c r="G492" s="399" t="s">
        <v>1239</v>
      </c>
      <c r="H492" s="399" t="s">
        <v>1239</v>
      </c>
      <c r="I492" s="399" t="s">
        <v>1239</v>
      </c>
      <c r="J492" s="399" t="s">
        <v>2329</v>
      </c>
      <c r="K492" s="789">
        <v>44713</v>
      </c>
      <c r="L492" s="399">
        <v>0</v>
      </c>
      <c r="M492" s="399">
        <v>0</v>
      </c>
      <c r="N492" s="399">
        <v>2534.9430000000002</v>
      </c>
      <c r="O492" s="399">
        <v>2534.9430000000002</v>
      </c>
      <c r="P492" s="399">
        <v>2534.9430000000002</v>
      </c>
      <c r="Q492" s="399">
        <v>2534.9430000000002</v>
      </c>
      <c r="R492" s="399"/>
      <c r="S492" s="399">
        <v>521.86</v>
      </c>
      <c r="T492" s="399">
        <v>141.32</v>
      </c>
      <c r="U492" s="399"/>
      <c r="V492" s="399">
        <v>1681123.4987400002</v>
      </c>
      <c r="W492" s="399">
        <v>1681123.4987400002</v>
      </c>
      <c r="X492" s="399">
        <v>1313937.0051899999</v>
      </c>
      <c r="Y492" s="399">
        <v>0</v>
      </c>
      <c r="Z492" s="399">
        <v>153812.84412966095</v>
      </c>
      <c r="AA492" s="399">
        <v>0</v>
      </c>
      <c r="AB492" s="399">
        <v>0</v>
      </c>
      <c r="AC492" s="399">
        <v>0</v>
      </c>
      <c r="AD492" s="399">
        <v>272642.75806922215</v>
      </c>
      <c r="AE492" s="399">
        <v>823731.74276982457</v>
      </c>
      <c r="AF492" s="399">
        <v>358235.43245207274</v>
      </c>
      <c r="AG492" s="399">
        <v>0</v>
      </c>
      <c r="AH492" s="399">
        <v>0</v>
      </c>
      <c r="AI492" s="399">
        <v>0</v>
      </c>
      <c r="AJ492" s="399">
        <v>0</v>
      </c>
      <c r="AK492" s="399">
        <v>0</v>
      </c>
      <c r="AL492" s="399">
        <v>23782.815831080843</v>
      </c>
      <c r="AM492" s="399"/>
      <c r="AN492" s="399">
        <v>3515.6279912100681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45387.895878690011</v>
      </c>
      <c r="BH492" s="399">
        <v>0</v>
      </c>
      <c r="BI492" s="399">
        <v>8836.4</v>
      </c>
      <c r="BJ492" s="399">
        <v>40916.35</v>
      </c>
      <c r="BK492" s="399">
        <v>292939.15000000002</v>
      </c>
      <c r="BL492" s="399">
        <v>5536</v>
      </c>
      <c r="BM492" s="399"/>
      <c r="BN492" s="399"/>
      <c r="BO492" s="399"/>
      <c r="BP492" s="399"/>
      <c r="BQ492" s="399"/>
      <c r="BR492" s="399">
        <v>157673.45460000003</v>
      </c>
      <c r="BS492" s="399"/>
      <c r="BT492" s="399"/>
      <c r="BU492" s="399"/>
      <c r="BV492" s="399">
        <v>403623.32833076274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1156262.1821999999</v>
      </c>
      <c r="CJ492" s="399">
        <v>-323105.23317000037</v>
      </c>
      <c r="CK492" s="399"/>
      <c r="CL492" s="399"/>
      <c r="CM492" s="399"/>
      <c r="CN492" s="399"/>
      <c r="CO492" s="399">
        <v>-367186.49355000007</v>
      </c>
      <c r="CP492" s="399">
        <v>0</v>
      </c>
      <c r="CQ492" s="399">
        <v>30</v>
      </c>
      <c r="CR492" s="399">
        <v>-11295.040228697355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-1298.5165231393185</v>
      </c>
      <c r="DA492" s="399">
        <v>0</v>
      </c>
      <c r="DB492" s="399">
        <v>0</v>
      </c>
      <c r="DC492" s="399">
        <v>0</v>
      </c>
      <c r="DD492" s="399">
        <v>0</v>
      </c>
      <c r="DE492" s="399">
        <v>0</v>
      </c>
      <c r="DF492" s="399">
        <v>0</v>
      </c>
      <c r="DG492" s="399">
        <v>0</v>
      </c>
      <c r="DH492" s="399">
        <v>0</v>
      </c>
      <c r="DI492" s="399">
        <v>-8666.3787990846904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-1188.3845556851666</v>
      </c>
      <c r="DP492" s="399">
        <v>-141.76035078820223</v>
      </c>
      <c r="DQ492" s="399">
        <v>0</v>
      </c>
      <c r="DR492" s="399">
        <v>0</v>
      </c>
      <c r="DS492" s="399"/>
      <c r="DT492" s="399"/>
      <c r="DU492" s="399"/>
      <c r="DV492" s="399">
        <v>823731.74276982457</v>
      </c>
      <c r="DW492" s="399">
        <v>0</v>
      </c>
      <c r="DX492" s="399">
        <v>0</v>
      </c>
      <c r="DY492" s="399">
        <v>-367186.49355000013</v>
      </c>
      <c r="DZ492" s="399">
        <v>0</v>
      </c>
      <c r="EA492" s="399">
        <v>0</v>
      </c>
      <c r="EB492" s="399">
        <v>0</v>
      </c>
      <c r="EC492" s="399">
        <v>-355868.08019333676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218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2360</v>
      </c>
      <c r="C493" s="399" t="s">
        <v>2328</v>
      </c>
      <c r="D493" s="399" t="s">
        <v>2335</v>
      </c>
      <c r="E493" s="399" t="s">
        <v>894</v>
      </c>
      <c r="F493" s="399" t="s">
        <v>1239</v>
      </c>
      <c r="G493" s="399" t="s">
        <v>1239</v>
      </c>
      <c r="H493" s="399" t="s">
        <v>1239</v>
      </c>
      <c r="I493" s="399" t="s">
        <v>1239</v>
      </c>
      <c r="J493" s="399" t="s">
        <v>2329</v>
      </c>
      <c r="K493" s="789">
        <v>44713</v>
      </c>
      <c r="L493" s="399">
        <v>0</v>
      </c>
      <c r="M493" s="399">
        <v>0</v>
      </c>
      <c r="N493" s="399">
        <v>-2.081</v>
      </c>
      <c r="O493" s="399">
        <v>-2.081</v>
      </c>
      <c r="P493" s="399">
        <v>-2.081</v>
      </c>
      <c r="Q493" s="399">
        <v>-2.081</v>
      </c>
      <c r="R493" s="399"/>
      <c r="S493" s="399">
        <v>521.86</v>
      </c>
      <c r="T493" s="399">
        <v>141.32</v>
      </c>
      <c r="U493" s="399"/>
      <c r="V493" s="399">
        <v>-1380.0775799999999</v>
      </c>
      <c r="W493" s="399">
        <v>-1380.0775799999999</v>
      </c>
      <c r="X493" s="399">
        <v>-1078.64473</v>
      </c>
      <c r="Y493" s="399">
        <v>0</v>
      </c>
      <c r="Z493" s="399">
        <v>-126.26892542902323</v>
      </c>
      <c r="AA493" s="399">
        <v>0</v>
      </c>
      <c r="AB493" s="399">
        <v>0</v>
      </c>
      <c r="AC493" s="399">
        <v>0</v>
      </c>
      <c r="AD493" s="399">
        <v>-223.81946242659157</v>
      </c>
      <c r="AE493" s="399">
        <v>-676.2226040995813</v>
      </c>
      <c r="AF493" s="399">
        <v>-294.0846933965629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-19.523926078211314</v>
      </c>
      <c r="AM493" s="399"/>
      <c r="AN493" s="399">
        <v>-2.8860695683130357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-37.260092760884135</v>
      </c>
      <c r="BH493" s="399">
        <v>0</v>
      </c>
      <c r="BI493" s="399">
        <v>-7.33</v>
      </c>
      <c r="BJ493" s="399">
        <v>-33.840000000000003</v>
      </c>
      <c r="BK493" s="399">
        <v>-292.2</v>
      </c>
      <c r="BL493" s="399">
        <v>0</v>
      </c>
      <c r="BM493" s="399"/>
      <c r="BN493" s="399"/>
      <c r="BO493" s="399"/>
      <c r="BP493" s="399"/>
      <c r="BQ493" s="399"/>
      <c r="BR493" s="399">
        <v>-129.43819999999999</v>
      </c>
      <c r="BS493" s="399"/>
      <c r="BT493" s="399"/>
      <c r="BU493" s="399"/>
      <c r="BV493" s="399">
        <v>-331.34478615744706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-948.75040000000001</v>
      </c>
      <c r="CJ493" s="399">
        <v>265.67039000000011</v>
      </c>
      <c r="CK493" s="399"/>
      <c r="CL493" s="399"/>
      <c r="CM493" s="399"/>
      <c r="CN493" s="399"/>
      <c r="CO493" s="399">
        <v>301.43285000000003</v>
      </c>
      <c r="CP493" s="399">
        <v>0</v>
      </c>
      <c r="CQ493" s="399">
        <v>30</v>
      </c>
      <c r="CR493" s="399">
        <v>9.2723894446223767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1.0659856591067296</v>
      </c>
      <c r="DA493" s="399">
        <v>0</v>
      </c>
      <c r="DB493" s="399">
        <v>0</v>
      </c>
      <c r="DC493" s="399">
        <v>0</v>
      </c>
      <c r="DD493" s="399">
        <v>0</v>
      </c>
      <c r="DE493" s="399">
        <v>0</v>
      </c>
      <c r="DF493" s="399">
        <v>0</v>
      </c>
      <c r="DG493" s="399">
        <v>0</v>
      </c>
      <c r="DH493" s="399">
        <v>0</v>
      </c>
      <c r="DI493" s="399">
        <v>7.1144535718930229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0.97557549040780245</v>
      </c>
      <c r="DP493" s="399">
        <v>0.11637472321478226</v>
      </c>
      <c r="DQ493" s="399">
        <v>0</v>
      </c>
      <c r="DR493" s="399">
        <v>0</v>
      </c>
      <c r="DS493" s="399"/>
      <c r="DT493" s="399"/>
      <c r="DU493" s="399"/>
      <c r="DV493" s="399">
        <v>-676.2226040995813</v>
      </c>
      <c r="DW493" s="399">
        <v>0</v>
      </c>
      <c r="DX493" s="399">
        <v>0</v>
      </c>
      <c r="DY493" s="399">
        <v>301.43284999999992</v>
      </c>
      <c r="DZ493" s="399">
        <v>0</v>
      </c>
      <c r="EA493" s="399">
        <v>0</v>
      </c>
      <c r="EB493" s="399">
        <v>0</v>
      </c>
      <c r="EC493" s="399">
        <v>292.14127295262017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218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2361</v>
      </c>
      <c r="C494" s="399" t="s">
        <v>2328</v>
      </c>
      <c r="D494" s="399" t="s">
        <v>2335</v>
      </c>
      <c r="E494" s="399" t="s">
        <v>894</v>
      </c>
      <c r="F494" s="399" t="s">
        <v>1239</v>
      </c>
      <c r="G494" s="399" t="s">
        <v>1239</v>
      </c>
      <c r="H494" s="399" t="s">
        <v>1239</v>
      </c>
      <c r="I494" s="399" t="s">
        <v>1239</v>
      </c>
      <c r="J494" s="399" t="s">
        <v>2329</v>
      </c>
      <c r="K494" s="789">
        <v>44713</v>
      </c>
      <c r="L494" s="399">
        <v>0</v>
      </c>
      <c r="M494" s="399">
        <v>0</v>
      </c>
      <c r="N494" s="399">
        <v>334.767</v>
      </c>
      <c r="O494" s="399">
        <v>334.767</v>
      </c>
      <c r="P494" s="399">
        <v>334.767</v>
      </c>
      <c r="Q494" s="399">
        <v>334.767</v>
      </c>
      <c r="R494" s="399"/>
      <c r="S494" s="399">
        <v>521.86</v>
      </c>
      <c r="T494" s="399">
        <v>141.32</v>
      </c>
      <c r="U494" s="399"/>
      <c r="V494" s="399">
        <v>222010.77906</v>
      </c>
      <c r="W494" s="399">
        <v>222010.77906</v>
      </c>
      <c r="X494" s="399">
        <v>173519.77911</v>
      </c>
      <c r="Y494" s="399">
        <v>0</v>
      </c>
      <c r="Z494" s="399">
        <v>20312.671484429517</v>
      </c>
      <c r="AA494" s="399">
        <v>0</v>
      </c>
      <c r="AB494" s="399">
        <v>0</v>
      </c>
      <c r="AC494" s="399">
        <v>0</v>
      </c>
      <c r="AD494" s="399">
        <v>36005.46370887207</v>
      </c>
      <c r="AE494" s="399">
        <v>108782.80274224147</v>
      </c>
      <c r="AF494" s="399">
        <v>47308.914250017864</v>
      </c>
      <c r="AG494" s="399">
        <v>0</v>
      </c>
      <c r="AH494" s="399">
        <v>0</v>
      </c>
      <c r="AI494" s="399">
        <v>0</v>
      </c>
      <c r="AJ494" s="399">
        <v>0</v>
      </c>
      <c r="AK494" s="399">
        <v>0</v>
      </c>
      <c r="AL494" s="399">
        <v>3140.7814326884036</v>
      </c>
      <c r="AM494" s="399"/>
      <c r="AN494" s="399">
        <v>464.27719902712636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5993.9689924473323</v>
      </c>
      <c r="BH494" s="399">
        <v>0</v>
      </c>
      <c r="BI494" s="399">
        <v>1169.07</v>
      </c>
      <c r="BJ494" s="399">
        <v>5413.88</v>
      </c>
      <c r="BK494" s="399">
        <v>109777.96</v>
      </c>
      <c r="BL494" s="399">
        <v>616</v>
      </c>
      <c r="BM494" s="399"/>
      <c r="BN494" s="399"/>
      <c r="BO494" s="399"/>
      <c r="BP494" s="399"/>
      <c r="BQ494" s="399"/>
      <c r="BR494" s="399">
        <v>20822.507399999999</v>
      </c>
      <c r="BS494" s="399"/>
      <c r="BT494" s="399"/>
      <c r="BU494" s="399"/>
      <c r="BV494" s="399">
        <v>53302.883242465199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152698.64009999999</v>
      </c>
      <c r="CJ494" s="399">
        <v>-42668.063430000038</v>
      </c>
      <c r="CK494" s="399"/>
      <c r="CL494" s="399"/>
      <c r="CM494" s="399"/>
      <c r="CN494" s="399"/>
      <c r="CO494" s="399">
        <v>-48490.999950000005</v>
      </c>
      <c r="CP494" s="399">
        <v>0</v>
      </c>
      <c r="CQ494" s="399">
        <v>30</v>
      </c>
      <c r="CR494" s="399">
        <v>-1491.6338285477541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-171.48333548398659</v>
      </c>
      <c r="DA494" s="399">
        <v>0</v>
      </c>
      <c r="DB494" s="399">
        <v>0</v>
      </c>
      <c r="DC494" s="399">
        <v>0</v>
      </c>
      <c r="DD494" s="399">
        <v>0</v>
      </c>
      <c r="DE494" s="399">
        <v>0</v>
      </c>
      <c r="DF494" s="399">
        <v>0</v>
      </c>
      <c r="DG494" s="399">
        <v>0</v>
      </c>
      <c r="DH494" s="399">
        <v>0</v>
      </c>
      <c r="DI494" s="399">
        <v>-1144.490282989871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-156.93920240141733</v>
      </c>
      <c r="DP494" s="399">
        <v>-18.721007672485769</v>
      </c>
      <c r="DQ494" s="399">
        <v>0</v>
      </c>
      <c r="DR494" s="399">
        <v>0</v>
      </c>
      <c r="DS494" s="399"/>
      <c r="DT494" s="399"/>
      <c r="DU494" s="399"/>
      <c r="DV494" s="399">
        <v>108782.80274224147</v>
      </c>
      <c r="DW494" s="399">
        <v>0</v>
      </c>
      <c r="DX494" s="399">
        <v>0</v>
      </c>
      <c r="DY494" s="399">
        <v>-48490.999949999998</v>
      </c>
      <c r="DZ494" s="399">
        <v>0</v>
      </c>
      <c r="EA494" s="399">
        <v>0</v>
      </c>
      <c r="EB494" s="399">
        <v>0</v>
      </c>
      <c r="EC494" s="399">
        <v>-46996.279443791333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0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218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956</v>
      </c>
      <c r="C495" s="399" t="s">
        <v>2334</v>
      </c>
      <c r="D495" s="399" t="s">
        <v>533</v>
      </c>
      <c r="E495" s="399" t="s">
        <v>894</v>
      </c>
      <c r="F495" s="399" t="s">
        <v>1239</v>
      </c>
      <c r="G495" s="399" t="s">
        <v>1239</v>
      </c>
      <c r="H495" s="399" t="s">
        <v>1239</v>
      </c>
      <c r="I495" s="399" t="s">
        <v>893</v>
      </c>
      <c r="J495" s="399" t="s">
        <v>2329</v>
      </c>
      <c r="K495" s="789">
        <v>44713</v>
      </c>
      <c r="L495" s="399">
        <v>0</v>
      </c>
      <c r="M495" s="399">
        <v>0</v>
      </c>
      <c r="N495" s="399">
        <v>0.19900000000000001</v>
      </c>
      <c r="O495" s="399">
        <v>0.19103999999999999</v>
      </c>
      <c r="P495" s="399">
        <v>0.19900000000000001</v>
      </c>
      <c r="Q495" s="399">
        <v>0.19103999999999999</v>
      </c>
      <c r="R495" s="399"/>
      <c r="S495" s="399">
        <v>2741.05</v>
      </c>
      <c r="T495" s="399">
        <v>141.32</v>
      </c>
      <c r="U495" s="399"/>
      <c r="V495" s="399">
        <v>573.59163000000001</v>
      </c>
      <c r="W495" s="399">
        <v>573.59163000000001</v>
      </c>
      <c r="X495" s="399">
        <v>410.71212000000003</v>
      </c>
      <c r="Y495" s="399">
        <v>0</v>
      </c>
      <c r="Z495" s="399">
        <v>10.505016366903794</v>
      </c>
      <c r="AA495" s="399">
        <v>0</v>
      </c>
      <c r="AB495" s="399">
        <v>0</v>
      </c>
      <c r="AC495" s="399">
        <v>0</v>
      </c>
      <c r="AD495" s="399">
        <v>157.91873434647479</v>
      </c>
      <c r="AE495" s="399">
        <v>373.68393855995583</v>
      </c>
      <c r="AF495" s="399">
        <v>28.122467076365218</v>
      </c>
      <c r="AG495" s="399">
        <v>0</v>
      </c>
      <c r="AH495" s="399">
        <v>0</v>
      </c>
      <c r="AI495" s="399">
        <v>0</v>
      </c>
      <c r="AJ495" s="399">
        <v>0</v>
      </c>
      <c r="AK495" s="399">
        <v>0</v>
      </c>
      <c r="AL495" s="399">
        <v>1.867016477445484</v>
      </c>
      <c r="AM495" s="399"/>
      <c r="AN495" s="399">
        <v>0.11954774007421377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1.3756787265469392</v>
      </c>
      <c r="BH495" s="399">
        <v>0</v>
      </c>
      <c r="BI495" s="399">
        <v>0</v>
      </c>
      <c r="BJ495" s="399">
        <v>0</v>
      </c>
      <c r="BK495" s="399">
        <v>0</v>
      </c>
      <c r="BL495" s="399">
        <v>0</v>
      </c>
      <c r="BM495" s="399"/>
      <c r="BN495" s="399"/>
      <c r="BO495" s="399"/>
      <c r="BP495" s="399"/>
      <c r="BQ495" s="399"/>
      <c r="BR495" s="399">
        <v>16.428484800000046</v>
      </c>
      <c r="BS495" s="399"/>
      <c r="BT495" s="399"/>
      <c r="BU495" s="399"/>
      <c r="BV495" s="399">
        <v>29.498145802912159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392.13720000000001</v>
      </c>
      <c r="CJ495" s="399">
        <v>-158.54076479999992</v>
      </c>
      <c r="CK495" s="399"/>
      <c r="CL495" s="399"/>
      <c r="CM495" s="399"/>
      <c r="CN495" s="399"/>
      <c r="CO495" s="399">
        <v>-162.87951000000007</v>
      </c>
      <c r="CP495" s="399">
        <v>0</v>
      </c>
      <c r="CQ495" s="399">
        <v>30</v>
      </c>
      <c r="CR495" s="399">
        <v>-1.4421231083390751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-0.75212005378190838</v>
      </c>
      <c r="DA495" s="399">
        <v>0</v>
      </c>
      <c r="DB495" s="399">
        <v>0</v>
      </c>
      <c r="DC495" s="399">
        <v>0</v>
      </c>
      <c r="DD495" s="399">
        <v>0</v>
      </c>
      <c r="DE495" s="399">
        <v>0</v>
      </c>
      <c r="DF495" s="399">
        <v>0</v>
      </c>
      <c r="DG495" s="399">
        <v>0</v>
      </c>
      <c r="DH495" s="399">
        <v>0</v>
      </c>
      <c r="DI495" s="399">
        <v>-0.59189108452757289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-9.329145727590249E-2</v>
      </c>
      <c r="DP495" s="399">
        <v>-4.8205127536904563E-3</v>
      </c>
      <c r="DQ495" s="399">
        <v>0</v>
      </c>
      <c r="DR495" s="399">
        <v>0</v>
      </c>
      <c r="DS495" s="399"/>
      <c r="DT495" s="399"/>
      <c r="DU495" s="399"/>
      <c r="DV495" s="399">
        <v>373.68393855995583</v>
      </c>
      <c r="DW495" s="399">
        <v>0</v>
      </c>
      <c r="DX495" s="399">
        <v>0</v>
      </c>
      <c r="DY495" s="399">
        <v>-162.87951000000004</v>
      </c>
      <c r="DZ495" s="399">
        <v>0</v>
      </c>
      <c r="EA495" s="399">
        <v>0</v>
      </c>
      <c r="EB495" s="399">
        <v>0</v>
      </c>
      <c r="EC495" s="399">
        <v>-161.43870499303566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218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2361</v>
      </c>
      <c r="C496" s="399" t="s">
        <v>2334</v>
      </c>
      <c r="D496" s="399" t="s">
        <v>533</v>
      </c>
      <c r="E496" s="399" t="s">
        <v>894</v>
      </c>
      <c r="F496" s="399" t="s">
        <v>1239</v>
      </c>
      <c r="G496" s="399" t="s">
        <v>1239</v>
      </c>
      <c r="H496" s="399" t="s">
        <v>1239</v>
      </c>
      <c r="I496" s="399" t="s">
        <v>893</v>
      </c>
      <c r="J496" s="399" t="s">
        <v>2329</v>
      </c>
      <c r="K496" s="789">
        <v>44713</v>
      </c>
      <c r="L496" s="399">
        <v>0</v>
      </c>
      <c r="M496" s="399">
        <v>0</v>
      </c>
      <c r="N496" s="399">
        <v>2.44</v>
      </c>
      <c r="O496" s="399">
        <v>2.3424</v>
      </c>
      <c r="P496" s="399">
        <v>2.44</v>
      </c>
      <c r="Q496" s="399">
        <v>2.3424</v>
      </c>
      <c r="R496" s="399"/>
      <c r="S496" s="399">
        <v>2741.05</v>
      </c>
      <c r="T496" s="399">
        <v>141.32</v>
      </c>
      <c r="U496" s="399"/>
      <c r="V496" s="399">
        <v>7032.9827999999998</v>
      </c>
      <c r="W496" s="399">
        <v>7032.9827999999998</v>
      </c>
      <c r="X496" s="399">
        <v>5035.8672000000006</v>
      </c>
      <c r="Y496" s="399">
        <v>0</v>
      </c>
      <c r="Z496" s="399">
        <v>128.80522580525255</v>
      </c>
      <c r="AA496" s="399">
        <v>0</v>
      </c>
      <c r="AB496" s="399">
        <v>0</v>
      </c>
      <c r="AC496" s="399">
        <v>0</v>
      </c>
      <c r="AD496" s="399">
        <v>1936.290009072354</v>
      </c>
      <c r="AE496" s="399">
        <v>4581.8533170165438</v>
      </c>
      <c r="AF496" s="399">
        <v>344.81818927804585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22.892061331492364</v>
      </c>
      <c r="AM496" s="399"/>
      <c r="AN496" s="399">
        <v>1.4658114863370935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16.867618556655938</v>
      </c>
      <c r="BH496" s="399">
        <v>0</v>
      </c>
      <c r="BI496" s="399">
        <v>0</v>
      </c>
      <c r="BJ496" s="399">
        <v>0</v>
      </c>
      <c r="BK496" s="399">
        <v>0</v>
      </c>
      <c r="BL496" s="399">
        <v>0</v>
      </c>
      <c r="BM496" s="399"/>
      <c r="BN496" s="399"/>
      <c r="BO496" s="399"/>
      <c r="BP496" s="399"/>
      <c r="BQ496" s="399"/>
      <c r="BR496" s="399">
        <v>201.4346879999998</v>
      </c>
      <c r="BS496" s="399"/>
      <c r="BT496" s="399"/>
      <c r="BU496" s="399"/>
      <c r="BV496" s="399">
        <v>361.68580783470179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4829.4791999999998</v>
      </c>
      <c r="CJ496" s="399">
        <v>-1922.2142880000019</v>
      </c>
      <c r="CK496" s="399"/>
      <c r="CL496" s="399"/>
      <c r="CM496" s="399"/>
      <c r="CN496" s="399"/>
      <c r="CO496" s="399">
        <v>-1997.1156000000005</v>
      </c>
      <c r="CP496" s="399">
        <v>0</v>
      </c>
      <c r="CQ496" s="399">
        <v>30</v>
      </c>
      <c r="CR496" s="399">
        <v>-17.682313489181979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-9.2219745287829937</v>
      </c>
      <c r="DA496" s="399">
        <v>0</v>
      </c>
      <c r="DB496" s="399">
        <v>0</v>
      </c>
      <c r="DC496" s="399">
        <v>0</v>
      </c>
      <c r="DD496" s="399">
        <v>0</v>
      </c>
      <c r="DE496" s="399">
        <v>0</v>
      </c>
      <c r="DF496" s="399">
        <v>0</v>
      </c>
      <c r="DG496" s="399">
        <v>0</v>
      </c>
      <c r="DH496" s="399">
        <v>0</v>
      </c>
      <c r="DI496" s="399">
        <v>-7.2573580213431086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-1.1438751545387014</v>
      </c>
      <c r="DP496" s="399">
        <v>-5.9105784517611726E-2</v>
      </c>
      <c r="DQ496" s="399">
        <v>0</v>
      </c>
      <c r="DR496" s="399">
        <v>0</v>
      </c>
      <c r="DS496" s="399"/>
      <c r="DT496" s="399"/>
      <c r="DU496" s="399"/>
      <c r="DV496" s="399">
        <v>4581.8533170165438</v>
      </c>
      <c r="DW496" s="399">
        <v>0</v>
      </c>
      <c r="DX496" s="399">
        <v>0</v>
      </c>
      <c r="DY496" s="399">
        <v>-1997.1156000000001</v>
      </c>
      <c r="DZ496" s="399">
        <v>0</v>
      </c>
      <c r="EA496" s="399">
        <v>0</v>
      </c>
      <c r="EB496" s="399">
        <v>0</v>
      </c>
      <c r="EC496" s="399">
        <v>-1979.4494481558145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218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956</v>
      </c>
      <c r="C497" s="399" t="s">
        <v>2334</v>
      </c>
      <c r="D497" s="399" t="s">
        <v>533</v>
      </c>
      <c r="E497" s="399" t="s">
        <v>894</v>
      </c>
      <c r="F497" s="399" t="s">
        <v>1239</v>
      </c>
      <c r="G497" s="399" t="s">
        <v>1239</v>
      </c>
      <c r="H497" s="399" t="s">
        <v>1239</v>
      </c>
      <c r="I497" s="399" t="s">
        <v>2326</v>
      </c>
      <c r="J497" s="399" t="s">
        <v>2329</v>
      </c>
      <c r="K497" s="789">
        <v>44713</v>
      </c>
      <c r="L497" s="399">
        <v>0</v>
      </c>
      <c r="M497" s="399">
        <v>0</v>
      </c>
      <c r="N497" s="399">
        <v>2.1389999999999998</v>
      </c>
      <c r="O497" s="399">
        <v>2.0534400000000002</v>
      </c>
      <c r="P497" s="399">
        <v>2.1389999999999998</v>
      </c>
      <c r="Q497" s="399">
        <v>2.0534400000000002</v>
      </c>
      <c r="R497" s="399"/>
      <c r="S497" s="399">
        <v>69.680000000000007</v>
      </c>
      <c r="T497" s="399">
        <v>141.32</v>
      </c>
      <c r="U497" s="399"/>
      <c r="V497" s="399">
        <v>451.32899999999995</v>
      </c>
      <c r="W497" s="399">
        <v>451.32899999999995</v>
      </c>
      <c r="X497" s="399">
        <v>443.92805999999996</v>
      </c>
      <c r="Y497" s="399">
        <v>0</v>
      </c>
      <c r="Z497" s="399">
        <v>112.91572868747343</v>
      </c>
      <c r="AA497" s="399">
        <v>0</v>
      </c>
      <c r="AB497" s="399">
        <v>0</v>
      </c>
      <c r="AC497" s="399">
        <v>0</v>
      </c>
      <c r="AD497" s="399">
        <v>0</v>
      </c>
      <c r="AE497" s="399">
        <v>0</v>
      </c>
      <c r="AF497" s="399">
        <v>302.28119133841807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20.068081634451705</v>
      </c>
      <c r="AM497" s="399"/>
      <c r="AN497" s="399">
        <v>1.2849880201946895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14.786818070773379</v>
      </c>
      <c r="BH497" s="399">
        <v>0</v>
      </c>
      <c r="BI497" s="399">
        <v>0</v>
      </c>
      <c r="BJ497" s="399">
        <v>0</v>
      </c>
      <c r="BK497" s="399">
        <v>0</v>
      </c>
      <c r="BL497" s="399">
        <v>0</v>
      </c>
      <c r="BM497" s="399"/>
      <c r="BN497" s="399"/>
      <c r="BO497" s="399"/>
      <c r="BP497" s="399"/>
      <c r="BQ497" s="399"/>
      <c r="BR497" s="399">
        <v>17.757122399999925</v>
      </c>
      <c r="BS497" s="399"/>
      <c r="BT497" s="399"/>
      <c r="BU497" s="399"/>
      <c r="BV497" s="399">
        <v>317.06800940919146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425.45699999999994</v>
      </c>
      <c r="CJ497" s="399">
        <v>-7.8488400000000524</v>
      </c>
      <c r="CK497" s="399"/>
      <c r="CL497" s="399"/>
      <c r="CM497" s="399"/>
      <c r="CN497" s="399"/>
      <c r="CO497" s="399">
        <v>-7.4009400000000163</v>
      </c>
      <c r="CP497" s="399">
        <v>0</v>
      </c>
      <c r="CQ497" s="399">
        <v>30</v>
      </c>
      <c r="CR497" s="399">
        <v>-7.4166659984812782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0</v>
      </c>
      <c r="DA497" s="399">
        <v>0</v>
      </c>
      <c r="DB497" s="399">
        <v>0</v>
      </c>
      <c r="DC497" s="399">
        <v>0</v>
      </c>
      <c r="DD497" s="399">
        <v>0</v>
      </c>
      <c r="DE497" s="399">
        <v>0</v>
      </c>
      <c r="DF497" s="399">
        <v>0</v>
      </c>
      <c r="DG497" s="399">
        <v>0</v>
      </c>
      <c r="DH497" s="399">
        <v>0</v>
      </c>
      <c r="DI497" s="399">
        <v>-6.3620855769069209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-1.0027659653927365</v>
      </c>
      <c r="DP497" s="399">
        <v>-5.1814456181627389E-2</v>
      </c>
      <c r="DQ497" s="399">
        <v>0</v>
      </c>
      <c r="DR497" s="399">
        <v>0</v>
      </c>
      <c r="DS497" s="399"/>
      <c r="DT497" s="399"/>
      <c r="DU497" s="399"/>
      <c r="DV497" s="399">
        <v>0</v>
      </c>
      <c r="DW497" s="399">
        <v>0</v>
      </c>
      <c r="DX497" s="399">
        <v>0</v>
      </c>
      <c r="DY497" s="399">
        <v>-7.4009400000000198</v>
      </c>
      <c r="DZ497" s="399">
        <v>0</v>
      </c>
      <c r="EA497" s="399">
        <v>0</v>
      </c>
      <c r="EB497" s="399">
        <v>0</v>
      </c>
      <c r="EC497" s="399">
        <v>0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218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2361</v>
      </c>
      <c r="C498" s="399" t="s">
        <v>2334</v>
      </c>
      <c r="D498" s="399" t="s">
        <v>533</v>
      </c>
      <c r="E498" s="399" t="s">
        <v>894</v>
      </c>
      <c r="F498" s="399" t="s">
        <v>1239</v>
      </c>
      <c r="G498" s="399" t="s">
        <v>1239</v>
      </c>
      <c r="H498" s="399" t="s">
        <v>1239</v>
      </c>
      <c r="I498" s="399" t="s">
        <v>2326</v>
      </c>
      <c r="J498" s="399" t="s">
        <v>2329</v>
      </c>
      <c r="K498" s="789">
        <v>44713</v>
      </c>
      <c r="L498" s="399">
        <v>0</v>
      </c>
      <c r="M498" s="399">
        <v>0</v>
      </c>
      <c r="N498" s="399">
        <v>35.104999999999997</v>
      </c>
      <c r="O498" s="399">
        <v>33.700800000000001</v>
      </c>
      <c r="P498" s="399">
        <v>35.104999999999997</v>
      </c>
      <c r="Q498" s="399">
        <v>33.700800000000001</v>
      </c>
      <c r="R498" s="399"/>
      <c r="S498" s="399">
        <v>69.680000000000007</v>
      </c>
      <c r="T498" s="399">
        <v>141.32</v>
      </c>
      <c r="U498" s="399"/>
      <c r="V498" s="399">
        <v>7407.1549999999988</v>
      </c>
      <c r="W498" s="399">
        <v>7407.1549999999988</v>
      </c>
      <c r="X498" s="399">
        <v>7285.6916999999985</v>
      </c>
      <c r="Y498" s="399">
        <v>0</v>
      </c>
      <c r="Z498" s="399">
        <v>1853.1587917595862</v>
      </c>
      <c r="AA498" s="399">
        <v>0</v>
      </c>
      <c r="AB498" s="399">
        <v>0</v>
      </c>
      <c r="AC498" s="399">
        <v>0</v>
      </c>
      <c r="AD498" s="399">
        <v>0</v>
      </c>
      <c r="AE498" s="399">
        <v>0</v>
      </c>
      <c r="AF498" s="399">
        <v>4961.0010387728689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329.3548414106719</v>
      </c>
      <c r="AM498" s="399"/>
      <c r="AN498" s="399">
        <v>21.089062388468712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242.67940550467483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>
        <v>291.42766799999913</v>
      </c>
      <c r="BS498" s="399"/>
      <c r="BT498" s="399"/>
      <c r="BU498" s="399"/>
      <c r="BV498" s="399">
        <v>5203.6804442775438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6994.098</v>
      </c>
      <c r="CJ498" s="399">
        <v>-116.80080000000089</v>
      </c>
      <c r="CK498" s="399"/>
      <c r="CL498" s="399"/>
      <c r="CM498" s="399"/>
      <c r="CN498" s="399"/>
      <c r="CO498" s="399">
        <v>-121.46330000000027</v>
      </c>
      <c r="CP498" s="399">
        <v>0</v>
      </c>
      <c r="CQ498" s="399">
        <v>30</v>
      </c>
      <c r="CR498" s="399">
        <v>-121.72139311673072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0</v>
      </c>
      <c r="DD498" s="399">
        <v>0</v>
      </c>
      <c r="DE498" s="399">
        <v>0</v>
      </c>
      <c r="DF498" s="399">
        <v>0</v>
      </c>
      <c r="DG498" s="399">
        <v>0</v>
      </c>
      <c r="DH498" s="399">
        <v>0</v>
      </c>
      <c r="DI498" s="399">
        <v>-104.41375136854504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-16.457269385279176</v>
      </c>
      <c r="DP498" s="399">
        <v>-0.85037236290604667</v>
      </c>
      <c r="DQ498" s="399">
        <v>0</v>
      </c>
      <c r="DR498" s="399">
        <v>0</v>
      </c>
      <c r="DS498" s="399"/>
      <c r="DT498" s="399"/>
      <c r="DU498" s="399"/>
      <c r="DV498" s="399">
        <v>0</v>
      </c>
      <c r="DW498" s="399">
        <v>0</v>
      </c>
      <c r="DX498" s="399">
        <v>0</v>
      </c>
      <c r="DY498" s="399">
        <v>-121.46330000000034</v>
      </c>
      <c r="DZ498" s="399">
        <v>0</v>
      </c>
      <c r="EA498" s="399">
        <v>0</v>
      </c>
      <c r="EB498" s="399">
        <v>0</v>
      </c>
      <c r="EC498" s="399">
        <v>0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218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956</v>
      </c>
      <c r="C499" s="399" t="s">
        <v>2334</v>
      </c>
      <c r="D499" s="399" t="s">
        <v>533</v>
      </c>
      <c r="E499" s="399" t="s">
        <v>894</v>
      </c>
      <c r="F499" s="399" t="s">
        <v>1239</v>
      </c>
      <c r="G499" s="399" t="s">
        <v>1239</v>
      </c>
      <c r="H499" s="399" t="s">
        <v>1239</v>
      </c>
      <c r="I499" s="399" t="s">
        <v>1239</v>
      </c>
      <c r="J499" s="399" t="s">
        <v>2329</v>
      </c>
      <c r="K499" s="789">
        <v>44713</v>
      </c>
      <c r="L499" s="399">
        <v>90</v>
      </c>
      <c r="M499" s="399">
        <v>86.4</v>
      </c>
      <c r="N499" s="399">
        <v>0</v>
      </c>
      <c r="O499" s="399">
        <v>0</v>
      </c>
      <c r="P499" s="399">
        <v>0</v>
      </c>
      <c r="Q499" s="399">
        <v>0</v>
      </c>
      <c r="R499" s="399">
        <v>35.15</v>
      </c>
      <c r="S499" s="399"/>
      <c r="T499" s="399"/>
      <c r="U499" s="399">
        <v>3163.5</v>
      </c>
      <c r="V499" s="399"/>
      <c r="W499" s="399">
        <v>3163.5</v>
      </c>
      <c r="X499" s="399">
        <v>2309.4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1199.8235963272409</v>
      </c>
      <c r="AE499" s="399">
        <v>1963.6179499154971</v>
      </c>
      <c r="AF499" s="399"/>
      <c r="AG499" s="399"/>
      <c r="AH499" s="399"/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0</v>
      </c>
      <c r="AO499" s="399">
        <v>0</v>
      </c>
      <c r="AP499" s="399">
        <v>0</v>
      </c>
      <c r="AQ499" s="399">
        <v>0</v>
      </c>
      <c r="AR499" s="399">
        <v>0</v>
      </c>
      <c r="AS499" s="399"/>
      <c r="AT499" s="399"/>
      <c r="AU499" s="399">
        <v>0</v>
      </c>
      <c r="AV499" s="399">
        <v>0</v>
      </c>
      <c r="AW499" s="399">
        <v>0</v>
      </c>
      <c r="AX499" s="399"/>
      <c r="AY499" s="399"/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/>
      <c r="BG499" s="399">
        <v>0</v>
      </c>
      <c r="BH499" s="399">
        <v>0</v>
      </c>
      <c r="BI499" s="399">
        <v>21.34</v>
      </c>
      <c r="BJ499" s="399">
        <v>98.52</v>
      </c>
      <c r="BK499" s="399">
        <v>673.92</v>
      </c>
      <c r="BL499" s="399">
        <v>1</v>
      </c>
      <c r="BM499" s="399"/>
      <c r="BN499" s="399"/>
      <c r="BO499" s="399"/>
      <c r="BP499" s="399"/>
      <c r="BQ499" s="399"/>
      <c r="BR499" s="399">
        <v>92.375999999999848</v>
      </c>
      <c r="BS499" s="399"/>
      <c r="BT499" s="399"/>
      <c r="BU499" s="399"/>
      <c r="BV499" s="399">
        <v>0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2217.0240000000003</v>
      </c>
      <c r="CJ499" s="399">
        <v>-819.96600000000035</v>
      </c>
      <c r="CK499" s="399"/>
      <c r="CL499" s="399"/>
      <c r="CM499" s="399"/>
      <c r="CN499" s="399"/>
      <c r="CO499" s="399">
        <v>-854.09999999999991</v>
      </c>
      <c r="CP499" s="399">
        <v>0</v>
      </c>
      <c r="CQ499" s="399">
        <v>30</v>
      </c>
      <c r="CR499" s="399">
        <v>-5.7144036236848024</v>
      </c>
      <c r="CS499" s="399">
        <v>0</v>
      </c>
      <c r="CT499" s="399">
        <v>0</v>
      </c>
      <c r="CU499" s="399">
        <v>0</v>
      </c>
      <c r="CV499" s="399">
        <v>0</v>
      </c>
      <c r="CW499" s="399"/>
      <c r="CX499" s="399"/>
      <c r="CY499" s="399"/>
      <c r="CZ499" s="399">
        <v>-5.7144036236848024</v>
      </c>
      <c r="DA499" s="399">
        <v>0</v>
      </c>
      <c r="DB499" s="399">
        <v>0</v>
      </c>
      <c r="DC499" s="399"/>
      <c r="DD499" s="399"/>
      <c r="DE499" s="399">
        <v>0</v>
      </c>
      <c r="DF499" s="399">
        <v>0</v>
      </c>
      <c r="DG499" s="399">
        <v>0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/>
      <c r="DN499" s="399">
        <v>0</v>
      </c>
      <c r="DO499" s="399">
        <v>0</v>
      </c>
      <c r="DP499" s="399">
        <v>0</v>
      </c>
      <c r="DQ499" s="399">
        <v>0</v>
      </c>
      <c r="DR499" s="399">
        <v>0</v>
      </c>
      <c r="DS499" s="399"/>
      <c r="DT499" s="399"/>
      <c r="DU499" s="399">
        <v>1963.6179499154971</v>
      </c>
      <c r="DV499" s="399"/>
      <c r="DW499" s="399">
        <v>0</v>
      </c>
      <c r="DX499" s="399">
        <v>0</v>
      </c>
      <c r="DY499" s="399">
        <v>-854.09999999999991</v>
      </c>
      <c r="DZ499" s="399"/>
      <c r="EA499" s="399">
        <v>0</v>
      </c>
      <c r="EB499" s="399"/>
      <c r="EC499" s="399">
        <v>-848.32101737381709</v>
      </c>
      <c r="ED499" s="399"/>
      <c r="EE499" s="399">
        <v>0</v>
      </c>
      <c r="EF499" s="399">
        <v>0</v>
      </c>
      <c r="EG499" s="399"/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/>
      <c r="EN499" s="399"/>
      <c r="EO499" s="399">
        <v>0</v>
      </c>
      <c r="EP499" s="399">
        <v>0</v>
      </c>
      <c r="EQ499" s="399"/>
      <c r="ER499" s="399">
        <v>0</v>
      </c>
      <c r="ES499" s="399"/>
      <c r="ET499" s="399">
        <v>0</v>
      </c>
      <c r="EU499" s="399"/>
      <c r="EV499" s="399">
        <v>218</v>
      </c>
      <c r="EW499" s="399"/>
      <c r="EX499" s="399"/>
      <c r="EY499" s="399"/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2361</v>
      </c>
      <c r="C500" s="399" t="s">
        <v>2334</v>
      </c>
      <c r="D500" s="399" t="s">
        <v>533</v>
      </c>
      <c r="E500" s="399" t="s">
        <v>894</v>
      </c>
      <c r="F500" s="399" t="s">
        <v>1239</v>
      </c>
      <c r="G500" s="399" t="s">
        <v>1239</v>
      </c>
      <c r="H500" s="399" t="s">
        <v>1239</v>
      </c>
      <c r="I500" s="399" t="s">
        <v>1239</v>
      </c>
      <c r="J500" s="399" t="s">
        <v>2329</v>
      </c>
      <c r="K500" s="789">
        <v>44713</v>
      </c>
      <c r="L500" s="399">
        <v>259</v>
      </c>
      <c r="M500" s="399">
        <v>248.64</v>
      </c>
      <c r="N500" s="399">
        <v>0</v>
      </c>
      <c r="O500" s="399">
        <v>0</v>
      </c>
      <c r="P500" s="399">
        <v>0</v>
      </c>
      <c r="Q500" s="399">
        <v>0</v>
      </c>
      <c r="R500" s="399">
        <v>35.15</v>
      </c>
      <c r="S500" s="399"/>
      <c r="T500" s="399"/>
      <c r="U500" s="399">
        <v>9103.85</v>
      </c>
      <c r="V500" s="399"/>
      <c r="W500" s="399">
        <v>9103.85</v>
      </c>
      <c r="X500" s="399">
        <v>6645.94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3452.8256827639489</v>
      </c>
      <c r="AE500" s="399">
        <v>5650.856100312375</v>
      </c>
      <c r="AF500" s="399"/>
      <c r="AG500" s="399"/>
      <c r="AH500" s="399"/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0</v>
      </c>
      <c r="AO500" s="399">
        <v>0</v>
      </c>
      <c r="AP500" s="399">
        <v>0</v>
      </c>
      <c r="AQ500" s="399">
        <v>0</v>
      </c>
      <c r="AR500" s="399">
        <v>0</v>
      </c>
      <c r="AS500" s="399"/>
      <c r="AT500" s="399"/>
      <c r="AU500" s="399">
        <v>0</v>
      </c>
      <c r="AV500" s="399">
        <v>0</v>
      </c>
      <c r="AW500" s="399">
        <v>0</v>
      </c>
      <c r="AX500" s="399"/>
      <c r="AY500" s="399"/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/>
      <c r="BG500" s="399">
        <v>0</v>
      </c>
      <c r="BH500" s="399">
        <v>0</v>
      </c>
      <c r="BI500" s="399">
        <v>138.34</v>
      </c>
      <c r="BJ500" s="399">
        <v>638.54999999999995</v>
      </c>
      <c r="BK500" s="399">
        <v>7563.4</v>
      </c>
      <c r="BL500" s="399">
        <v>2</v>
      </c>
      <c r="BM500" s="399"/>
      <c r="BN500" s="399"/>
      <c r="BO500" s="399"/>
      <c r="BP500" s="399"/>
      <c r="BQ500" s="399"/>
      <c r="BR500" s="399">
        <v>265.83760000000035</v>
      </c>
      <c r="BS500" s="399"/>
      <c r="BT500" s="399"/>
      <c r="BU500" s="399"/>
      <c r="BV500" s="399">
        <v>0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6380.1023999999998</v>
      </c>
      <c r="CJ500" s="399">
        <v>-2359.6236000000008</v>
      </c>
      <c r="CK500" s="399"/>
      <c r="CL500" s="399"/>
      <c r="CM500" s="399"/>
      <c r="CN500" s="399"/>
      <c r="CO500" s="399">
        <v>-2457.9099999999994</v>
      </c>
      <c r="CP500" s="399">
        <v>0</v>
      </c>
      <c r="CQ500" s="399">
        <v>30</v>
      </c>
      <c r="CR500" s="399">
        <v>-16.444783761492999</v>
      </c>
      <c r="CS500" s="399">
        <v>0</v>
      </c>
      <c r="CT500" s="399">
        <v>0</v>
      </c>
      <c r="CU500" s="399">
        <v>0</v>
      </c>
      <c r="CV500" s="399">
        <v>0</v>
      </c>
      <c r="CW500" s="399"/>
      <c r="CX500" s="399"/>
      <c r="CY500" s="399"/>
      <c r="CZ500" s="399">
        <v>-16.444783761492999</v>
      </c>
      <c r="DA500" s="399">
        <v>0</v>
      </c>
      <c r="DB500" s="399">
        <v>0</v>
      </c>
      <c r="DC500" s="399"/>
      <c r="DD500" s="399"/>
      <c r="DE500" s="399">
        <v>0</v>
      </c>
      <c r="DF500" s="399">
        <v>0</v>
      </c>
      <c r="DG500" s="399">
        <v>0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/>
      <c r="DN500" s="399">
        <v>0</v>
      </c>
      <c r="DO500" s="399">
        <v>0</v>
      </c>
      <c r="DP500" s="399">
        <v>0</v>
      </c>
      <c r="DQ500" s="399">
        <v>0</v>
      </c>
      <c r="DR500" s="399">
        <v>0</v>
      </c>
      <c r="DS500" s="399"/>
      <c r="DT500" s="399"/>
      <c r="DU500" s="399">
        <v>5650.856100312375</v>
      </c>
      <c r="DV500" s="399"/>
      <c r="DW500" s="399">
        <v>0</v>
      </c>
      <c r="DX500" s="399">
        <v>0</v>
      </c>
      <c r="DY500" s="399">
        <v>-2457.9100000000008</v>
      </c>
      <c r="DZ500" s="399"/>
      <c r="EA500" s="399">
        <v>0</v>
      </c>
      <c r="EB500" s="399"/>
      <c r="EC500" s="399">
        <v>-2441.2793722202073</v>
      </c>
      <c r="ED500" s="399"/>
      <c r="EE500" s="399">
        <v>0</v>
      </c>
      <c r="EF500" s="399">
        <v>0</v>
      </c>
      <c r="EG500" s="399"/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/>
      <c r="EN500" s="399"/>
      <c r="EO500" s="399">
        <v>0</v>
      </c>
      <c r="EP500" s="399">
        <v>0</v>
      </c>
      <c r="EQ500" s="399"/>
      <c r="ER500" s="399">
        <v>0</v>
      </c>
      <c r="ES500" s="399"/>
      <c r="ET500" s="399">
        <v>0</v>
      </c>
      <c r="EU500" s="399"/>
      <c r="EV500" s="399">
        <v>218</v>
      </c>
      <c r="EW500" s="399"/>
      <c r="EX500" s="399"/>
      <c r="EY500" s="399"/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956</v>
      </c>
      <c r="C501" s="399" t="s">
        <v>2328</v>
      </c>
      <c r="D501" s="399" t="s">
        <v>1826</v>
      </c>
      <c r="E501" s="399" t="s">
        <v>2336</v>
      </c>
      <c r="F501" s="399" t="s">
        <v>1239</v>
      </c>
      <c r="G501" s="399" t="s">
        <v>1239</v>
      </c>
      <c r="H501" s="399" t="s">
        <v>1239</v>
      </c>
      <c r="I501" s="399" t="s">
        <v>1239</v>
      </c>
      <c r="J501" s="399" t="s">
        <v>2329</v>
      </c>
      <c r="K501" s="789">
        <v>44713</v>
      </c>
      <c r="L501" s="399">
        <v>0</v>
      </c>
      <c r="M501" s="399">
        <v>0</v>
      </c>
      <c r="N501" s="399">
        <v>123.349</v>
      </c>
      <c r="O501" s="399">
        <v>123.349</v>
      </c>
      <c r="P501" s="399">
        <v>123.349</v>
      </c>
      <c r="Q501" s="399">
        <v>123.349</v>
      </c>
      <c r="R501" s="399"/>
      <c r="S501" s="399">
        <v>521.86</v>
      </c>
      <c r="T501" s="399">
        <v>141.32</v>
      </c>
      <c r="U501" s="399"/>
      <c r="V501" s="399">
        <v>81802.589820000008</v>
      </c>
      <c r="W501" s="399">
        <v>81802.589820000008</v>
      </c>
      <c r="X501" s="399">
        <v>63935.487170000008</v>
      </c>
      <c r="Y501" s="399">
        <v>0</v>
      </c>
      <c r="Z501" s="399">
        <v>7484.4525145336793</v>
      </c>
      <c r="AA501" s="399">
        <v>0</v>
      </c>
      <c r="AB501" s="399">
        <v>0</v>
      </c>
      <c r="AC501" s="399">
        <v>0</v>
      </c>
      <c r="AD501" s="399">
        <v>13266.653950436157</v>
      </c>
      <c r="AE501" s="399">
        <v>40082.355594944376</v>
      </c>
      <c r="AF501" s="399">
        <v>17431.548700515443</v>
      </c>
      <c r="AG501" s="399">
        <v>0</v>
      </c>
      <c r="AH501" s="399">
        <v>0</v>
      </c>
      <c r="AI501" s="399">
        <v>0</v>
      </c>
      <c r="AJ501" s="399">
        <v>0</v>
      </c>
      <c r="AK501" s="399">
        <v>0</v>
      </c>
      <c r="AL501" s="399">
        <v>1157.2593742533818</v>
      </c>
      <c r="AM501" s="399"/>
      <c r="AN501" s="399">
        <v>171.06861854005029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2208.5512647584319</v>
      </c>
      <c r="BH501" s="399">
        <v>0</v>
      </c>
      <c r="BI501" s="399">
        <v>430.45</v>
      </c>
      <c r="BJ501" s="399">
        <v>1990.8</v>
      </c>
      <c r="BK501" s="399">
        <v>18024.93</v>
      </c>
      <c r="BL501" s="399">
        <v>159</v>
      </c>
      <c r="BM501" s="399"/>
      <c r="BN501" s="399"/>
      <c r="BO501" s="399"/>
      <c r="BP501" s="399"/>
      <c r="BQ501" s="399"/>
      <c r="BR501" s="399"/>
      <c r="BS501" s="399"/>
      <c r="BT501" s="399"/>
      <c r="BU501" s="399"/>
      <c r="BV501" s="399">
        <v>19640.099965273876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63936.005499999999</v>
      </c>
      <c r="CJ501" s="399">
        <v>-17866.614320000008</v>
      </c>
      <c r="CK501" s="399"/>
      <c r="CL501" s="399"/>
      <c r="CM501" s="399"/>
      <c r="CN501" s="399"/>
      <c r="CO501" s="399">
        <v>-17867.102650000004</v>
      </c>
      <c r="CP501" s="399">
        <v>0</v>
      </c>
      <c r="CQ501" s="399">
        <v>30</v>
      </c>
      <c r="CR501" s="399">
        <v>-549.61074752749118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-63.185134582006867</v>
      </c>
      <c r="DA501" s="399">
        <v>0</v>
      </c>
      <c r="DB501" s="399">
        <v>0</v>
      </c>
      <c r="DC501" s="399">
        <v>0</v>
      </c>
      <c r="DD501" s="399">
        <v>0</v>
      </c>
      <c r="DE501" s="399">
        <v>0</v>
      </c>
      <c r="DF501" s="399">
        <v>0</v>
      </c>
      <c r="DG501" s="399">
        <v>0</v>
      </c>
      <c r="DH501" s="399">
        <v>0</v>
      </c>
      <c r="DI501" s="399">
        <v>-421.7014577796408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-57.826170670981128</v>
      </c>
      <c r="DP501" s="399">
        <v>-6.8979844948679272</v>
      </c>
      <c r="DQ501" s="399">
        <v>0</v>
      </c>
      <c r="DR501" s="399">
        <v>0</v>
      </c>
      <c r="DS501" s="399"/>
      <c r="DT501" s="399"/>
      <c r="DU501" s="399"/>
      <c r="DV501" s="399">
        <v>40082.355594944376</v>
      </c>
      <c r="DW501" s="399">
        <v>0</v>
      </c>
      <c r="DX501" s="399">
        <v>0</v>
      </c>
      <c r="DY501" s="399">
        <v>-17867.102650000001</v>
      </c>
      <c r="DZ501" s="399">
        <v>0</v>
      </c>
      <c r="EA501" s="399">
        <v>0</v>
      </c>
      <c r="EB501" s="399">
        <v>0</v>
      </c>
      <c r="EC501" s="399">
        <v>-17316.354578295402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0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218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500</v>
      </c>
      <c r="B502" s="399" t="s">
        <v>956</v>
      </c>
      <c r="C502" s="399" t="s">
        <v>2328</v>
      </c>
      <c r="D502" s="399" t="s">
        <v>2337</v>
      </c>
      <c r="E502" s="399" t="s">
        <v>2338</v>
      </c>
      <c r="F502" s="399" t="s">
        <v>2339</v>
      </c>
      <c r="G502" s="399" t="s">
        <v>1239</v>
      </c>
      <c r="H502" s="399" t="s">
        <v>1239</v>
      </c>
      <c r="I502" s="399" t="s">
        <v>1239</v>
      </c>
      <c r="J502" s="399" t="s">
        <v>2329</v>
      </c>
      <c r="K502" s="789">
        <v>44713</v>
      </c>
      <c r="L502" s="399">
        <v>0</v>
      </c>
      <c r="M502" s="399">
        <v>0</v>
      </c>
      <c r="N502" s="399">
        <v>78.191999999999993</v>
      </c>
      <c r="O502" s="399">
        <v>78.191999999999993</v>
      </c>
      <c r="P502" s="399">
        <v>78.191999999999993</v>
      </c>
      <c r="Q502" s="399">
        <v>78.191999999999993</v>
      </c>
      <c r="R502" s="399"/>
      <c r="S502" s="399">
        <v>287.02</v>
      </c>
      <c r="T502" s="399">
        <v>77.73</v>
      </c>
      <c r="U502" s="399"/>
      <c r="V502" s="399">
        <v>28520.531999999999</v>
      </c>
      <c r="W502" s="399">
        <v>28520.531999999999</v>
      </c>
      <c r="X502" s="399">
        <v>22291.757279999998</v>
      </c>
      <c r="Y502" s="399">
        <v>0</v>
      </c>
      <c r="Z502" s="399">
        <v>2609.4526186594876</v>
      </c>
      <c r="AA502" s="399">
        <v>0</v>
      </c>
      <c r="AB502" s="399">
        <v>0</v>
      </c>
      <c r="AC502" s="399">
        <v>0</v>
      </c>
      <c r="AD502" s="399">
        <v>4625.4157968923873</v>
      </c>
      <c r="AE502" s="399">
        <v>13974.703903346925</v>
      </c>
      <c r="AF502" s="399">
        <v>6077.5053773835853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403.47821016296268</v>
      </c>
      <c r="AM502" s="399"/>
      <c r="AN502" s="399">
        <v>59.643033842884904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770.01088190171845</v>
      </c>
      <c r="BH502" s="399">
        <v>0</v>
      </c>
      <c r="BI502" s="399">
        <v>150.35</v>
      </c>
      <c r="BJ502" s="399">
        <v>694.09</v>
      </c>
      <c r="BK502" s="399">
        <v>7712.03</v>
      </c>
      <c r="BL502" s="399">
        <v>7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6847.5162592853039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22291.187099999999</v>
      </c>
      <c r="CJ502" s="399">
        <v>-6229.3748999999953</v>
      </c>
      <c r="CK502" s="399"/>
      <c r="CL502" s="399"/>
      <c r="CM502" s="399"/>
      <c r="CN502" s="399"/>
      <c r="CO502" s="399">
        <v>-6228.7747199999967</v>
      </c>
      <c r="CP502" s="399">
        <v>0</v>
      </c>
      <c r="CQ502" s="399">
        <v>30</v>
      </c>
      <c r="CR502" s="399">
        <v>-191.62165857745276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-22.029482393711078</v>
      </c>
      <c r="DA502" s="399">
        <v>0</v>
      </c>
      <c r="DB502" s="399">
        <v>0</v>
      </c>
      <c r="DC502" s="399">
        <v>0</v>
      </c>
      <c r="DD502" s="399">
        <v>0</v>
      </c>
      <c r="DE502" s="399">
        <v>0</v>
      </c>
      <c r="DF502" s="399">
        <v>0</v>
      </c>
      <c r="DG502" s="399">
        <v>0</v>
      </c>
      <c r="DH502" s="399">
        <v>0</v>
      </c>
      <c r="DI502" s="399">
        <v>-147.02611462344839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-20.161080879520966</v>
      </c>
      <c r="DP502" s="399">
        <v>-2.4049806807718781</v>
      </c>
      <c r="DQ502" s="399">
        <v>0</v>
      </c>
      <c r="DR502" s="399">
        <v>0</v>
      </c>
      <c r="DS502" s="399"/>
      <c r="DT502" s="399"/>
      <c r="DU502" s="399"/>
      <c r="DV502" s="399">
        <v>13974.703903346925</v>
      </c>
      <c r="DW502" s="399">
        <v>0</v>
      </c>
      <c r="DX502" s="399">
        <v>0</v>
      </c>
      <c r="DY502" s="399">
        <v>-6228.7747199999994</v>
      </c>
      <c r="DZ502" s="399">
        <v>0</v>
      </c>
      <c r="EA502" s="399">
        <v>0</v>
      </c>
      <c r="EB502" s="399">
        <v>0</v>
      </c>
      <c r="EC502" s="399">
        <v>-6037.3429736142471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218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501</v>
      </c>
      <c r="B503" s="399" t="s">
        <v>956</v>
      </c>
      <c r="C503" s="399" t="s">
        <v>2328</v>
      </c>
      <c r="D503" s="399" t="s">
        <v>1826</v>
      </c>
      <c r="E503" s="399" t="s">
        <v>921</v>
      </c>
      <c r="F503" s="399" t="s">
        <v>2362</v>
      </c>
      <c r="G503" s="399" t="s">
        <v>1239</v>
      </c>
      <c r="H503" s="399" t="s">
        <v>1239</v>
      </c>
      <c r="I503" s="399" t="s">
        <v>1239</v>
      </c>
      <c r="J503" s="399" t="s">
        <v>2329</v>
      </c>
      <c r="K503" s="789">
        <v>44713</v>
      </c>
      <c r="L503" s="399">
        <v>0</v>
      </c>
      <c r="M503" s="399">
        <v>0</v>
      </c>
      <c r="N503" s="399">
        <v>44.027000000000001</v>
      </c>
      <c r="O503" s="399">
        <v>41.385379999999998</v>
      </c>
      <c r="P503" s="399">
        <v>44.027000000000001</v>
      </c>
      <c r="Q503" s="399">
        <v>41.385379999999998</v>
      </c>
      <c r="R503" s="399"/>
      <c r="S503" s="399">
        <v>521.86</v>
      </c>
      <c r="T503" s="399">
        <v>141.32</v>
      </c>
      <c r="U503" s="399"/>
      <c r="V503" s="399">
        <v>29197.825860000001</v>
      </c>
      <c r="W503" s="399">
        <v>29197.825860000001</v>
      </c>
      <c r="X503" s="399">
        <v>22820.514909999998</v>
      </c>
      <c r="Y503" s="399">
        <v>0</v>
      </c>
      <c r="Z503" s="399">
        <v>2671.4281498623768</v>
      </c>
      <c r="AA503" s="399">
        <v>0</v>
      </c>
      <c r="AB503" s="399">
        <v>0</v>
      </c>
      <c r="AC503" s="399">
        <v>0</v>
      </c>
      <c r="AD503" s="399">
        <v>4735.2712504832034</v>
      </c>
      <c r="AE503" s="399">
        <v>14306.608645214928</v>
      </c>
      <c r="AF503" s="399">
        <v>6221.8485325182482</v>
      </c>
      <c r="AG503" s="399">
        <v>0</v>
      </c>
      <c r="AH503" s="399">
        <v>0</v>
      </c>
      <c r="AI503" s="399">
        <v>0</v>
      </c>
      <c r="AJ503" s="399">
        <v>0</v>
      </c>
      <c r="AK503" s="399">
        <v>0</v>
      </c>
      <c r="AL503" s="399">
        <v>413.0609771482026</v>
      </c>
      <c r="AM503" s="399"/>
      <c r="AN503" s="399">
        <v>61.05957947338684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788.29894473015167</v>
      </c>
      <c r="BH503" s="399">
        <v>0</v>
      </c>
      <c r="BI503" s="399">
        <v>153.84</v>
      </c>
      <c r="BJ503" s="399">
        <v>710.57</v>
      </c>
      <c r="BK503" s="399">
        <v>7894.86</v>
      </c>
      <c r="BL503" s="399">
        <v>20</v>
      </c>
      <c r="BM503" s="399"/>
      <c r="BN503" s="399"/>
      <c r="BO503" s="399"/>
      <c r="BP503" s="399"/>
      <c r="BQ503" s="399">
        <v>1369.2308946000016</v>
      </c>
      <c r="BR503" s="399"/>
      <c r="BS503" s="399"/>
      <c r="BT503" s="399"/>
      <c r="BU503" s="399"/>
      <c r="BV503" s="399">
        <v>7010.1474772483998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21453.6787</v>
      </c>
      <c r="CJ503" s="399">
        <v>-5992.3076083999913</v>
      </c>
      <c r="CK503" s="399"/>
      <c r="CL503" s="399"/>
      <c r="CM503" s="399"/>
      <c r="CN503" s="399"/>
      <c r="CO503" s="399">
        <v>-6377.310950000001</v>
      </c>
      <c r="CP503" s="399">
        <v>0</v>
      </c>
      <c r="CQ503" s="399">
        <v>30</v>
      </c>
      <c r="CR503" s="399">
        <v>-196.17274871618974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-22.552691308741487</v>
      </c>
      <c r="DA503" s="399">
        <v>0</v>
      </c>
      <c r="DB503" s="399">
        <v>0</v>
      </c>
      <c r="DC503" s="399">
        <v>0</v>
      </c>
      <c r="DD503" s="399">
        <v>0</v>
      </c>
      <c r="DE503" s="399">
        <v>0</v>
      </c>
      <c r="DF503" s="399">
        <v>0</v>
      </c>
      <c r="DG503" s="399">
        <v>0</v>
      </c>
      <c r="DH503" s="399">
        <v>0</v>
      </c>
      <c r="DI503" s="399">
        <v>-150.51804296479304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-20.639914520030914</v>
      </c>
      <c r="DP503" s="399">
        <v>-2.462099922622393</v>
      </c>
      <c r="DQ503" s="399">
        <v>0</v>
      </c>
      <c r="DR503" s="399">
        <v>0</v>
      </c>
      <c r="DS503" s="399"/>
      <c r="DT503" s="399"/>
      <c r="DU503" s="399"/>
      <c r="DV503" s="399">
        <v>14306.608645214928</v>
      </c>
      <c r="DW503" s="399">
        <v>0</v>
      </c>
      <c r="DX503" s="399">
        <v>0</v>
      </c>
      <c r="DY503" s="399">
        <v>-6377.3109500000028</v>
      </c>
      <c r="DZ503" s="399">
        <v>0</v>
      </c>
      <c r="EA503" s="399">
        <v>0</v>
      </c>
      <c r="EB503" s="399">
        <v>0</v>
      </c>
      <c r="EC503" s="399">
        <v>-6180.7322557832813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0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218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502</v>
      </c>
      <c r="B504" s="399" t="s">
        <v>956</v>
      </c>
      <c r="C504" s="399" t="s">
        <v>2398</v>
      </c>
      <c r="D504" s="399" t="s">
        <v>533</v>
      </c>
      <c r="E504" s="399" t="s">
        <v>921</v>
      </c>
      <c r="F504" s="399" t="s">
        <v>2362</v>
      </c>
      <c r="G504" s="399" t="s">
        <v>1239</v>
      </c>
      <c r="H504" s="399" t="s">
        <v>1239</v>
      </c>
      <c r="I504" s="399" t="s">
        <v>893</v>
      </c>
      <c r="J504" s="399" t="s">
        <v>2329</v>
      </c>
      <c r="K504" s="789">
        <v>44713</v>
      </c>
      <c r="L504" s="399">
        <v>483</v>
      </c>
      <c r="M504" s="399">
        <v>454.02</v>
      </c>
      <c r="N504" s="399">
        <v>27.216000000000001</v>
      </c>
      <c r="O504" s="399">
        <v>25.58304</v>
      </c>
      <c r="P504" s="399">
        <v>27.216000000000001</v>
      </c>
      <c r="Q504" s="399">
        <v>25.58304</v>
      </c>
      <c r="R504" s="399">
        <v>111.06</v>
      </c>
      <c r="S504" s="399">
        <v>69.680000000000007</v>
      </c>
      <c r="T504" s="399">
        <v>141.32</v>
      </c>
      <c r="U504" s="399">
        <v>53641.98</v>
      </c>
      <c r="V504" s="399">
        <v>5742.5760000000009</v>
      </c>
      <c r="W504" s="399">
        <v>59384.556000000004</v>
      </c>
      <c r="X504" s="399">
        <v>42921.518640000002</v>
      </c>
      <c r="Y504" s="399">
        <v>0</v>
      </c>
      <c r="Z504" s="399">
        <v>1436.7061579982596</v>
      </c>
      <c r="AA504" s="399">
        <v>0</v>
      </c>
      <c r="AB504" s="399">
        <v>0</v>
      </c>
      <c r="AC504" s="399">
        <v>0</v>
      </c>
      <c r="AD504" s="399">
        <v>15930.867241648653</v>
      </c>
      <c r="AE504" s="399">
        <v>37712.280406063517</v>
      </c>
      <c r="AF504" s="399">
        <v>3846.1359997505315</v>
      </c>
      <c r="AG504" s="399">
        <v>0</v>
      </c>
      <c r="AH504" s="399">
        <v>0</v>
      </c>
      <c r="AI504" s="399">
        <v>0</v>
      </c>
      <c r="AJ504" s="399">
        <v>0</v>
      </c>
      <c r="AK504" s="399">
        <v>0</v>
      </c>
      <c r="AL504" s="399">
        <v>255.3403037696296</v>
      </c>
      <c r="AM504" s="399"/>
      <c r="AN504" s="399">
        <v>16.349805496782924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188.1430764909623</v>
      </c>
      <c r="BH504" s="399">
        <v>0</v>
      </c>
      <c r="BI504" s="399">
        <v>0</v>
      </c>
      <c r="BJ504" s="399">
        <v>0</v>
      </c>
      <c r="BK504" s="399">
        <v>0</v>
      </c>
      <c r="BL504" s="399">
        <v>0</v>
      </c>
      <c r="BM504" s="399"/>
      <c r="BN504" s="399"/>
      <c r="BO504" s="399"/>
      <c r="BP504" s="399"/>
      <c r="BQ504" s="399">
        <v>2575.2911184000018</v>
      </c>
      <c r="BR504" s="399"/>
      <c r="BS504" s="399"/>
      <c r="BT504" s="399"/>
      <c r="BU504" s="399"/>
      <c r="BV504" s="399">
        <v>4034.2790762414938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40345.596600000004</v>
      </c>
      <c r="CJ504" s="399">
        <v>-15475.916040000004</v>
      </c>
      <c r="CK504" s="399"/>
      <c r="CL504" s="399"/>
      <c r="CM504" s="399"/>
      <c r="CN504" s="399"/>
      <c r="CO504" s="399">
        <v>-16463.037360000002</v>
      </c>
      <c r="CP504" s="399">
        <v>0</v>
      </c>
      <c r="CQ504" s="399">
        <v>30</v>
      </c>
      <c r="CR504" s="399">
        <v>-170.24144454964699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-75.873991620861489</v>
      </c>
      <c r="DA504" s="399">
        <v>0</v>
      </c>
      <c r="DB504" s="399">
        <v>0</v>
      </c>
      <c r="DC504" s="399">
        <v>0</v>
      </c>
      <c r="DD504" s="399">
        <v>0</v>
      </c>
      <c r="DE504" s="399">
        <v>0</v>
      </c>
      <c r="DF504" s="399">
        <v>0</v>
      </c>
      <c r="DG504" s="399">
        <v>0</v>
      </c>
      <c r="DH504" s="399">
        <v>0</v>
      </c>
      <c r="DI504" s="399">
        <v>-80.949285208555011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-12.758895986034958</v>
      </c>
      <c r="DP504" s="399">
        <v>-0.65927173419316176</v>
      </c>
      <c r="DQ504" s="399">
        <v>0</v>
      </c>
      <c r="DR504" s="399">
        <v>0</v>
      </c>
      <c r="DS504" s="399"/>
      <c r="DT504" s="399"/>
      <c r="DU504" s="399">
        <v>37712.280406063517</v>
      </c>
      <c r="DV504" s="399">
        <v>0</v>
      </c>
      <c r="DW504" s="399">
        <v>0</v>
      </c>
      <c r="DX504" s="399">
        <v>0</v>
      </c>
      <c r="DY504" s="399">
        <v>-16463.037360000002</v>
      </c>
      <c r="DZ504" s="399">
        <v>0</v>
      </c>
      <c r="EA504" s="399">
        <v>0</v>
      </c>
      <c r="EB504" s="399">
        <v>0</v>
      </c>
      <c r="EC504" s="399">
        <v>-16292.436154871721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218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503</v>
      </c>
      <c r="B505" s="399" t="s">
        <v>956</v>
      </c>
      <c r="C505" s="399" t="s">
        <v>2398</v>
      </c>
      <c r="D505" s="399" t="s">
        <v>533</v>
      </c>
      <c r="E505" s="399" t="s">
        <v>921</v>
      </c>
      <c r="F505" s="399" t="s">
        <v>2362</v>
      </c>
      <c r="G505" s="399" t="s">
        <v>1239</v>
      </c>
      <c r="H505" s="399" t="s">
        <v>1239</v>
      </c>
      <c r="I505" s="399" t="s">
        <v>2326</v>
      </c>
      <c r="J505" s="399" t="s">
        <v>2329</v>
      </c>
      <c r="K505" s="789">
        <v>44713</v>
      </c>
      <c r="L505" s="399">
        <v>487</v>
      </c>
      <c r="M505" s="399">
        <v>457.78</v>
      </c>
      <c r="N505" s="399">
        <v>249.66399999999999</v>
      </c>
      <c r="O505" s="399">
        <v>234.68415999999999</v>
      </c>
      <c r="P505" s="399">
        <v>249.66399999999999</v>
      </c>
      <c r="Q505" s="399">
        <v>234.68415999999999</v>
      </c>
      <c r="R505" s="399">
        <v>35.15</v>
      </c>
      <c r="S505" s="399">
        <v>69.680000000000007</v>
      </c>
      <c r="T505" s="399">
        <v>141.32</v>
      </c>
      <c r="U505" s="399">
        <v>17118.05</v>
      </c>
      <c r="V505" s="399">
        <v>52679.103999999999</v>
      </c>
      <c r="W505" s="399">
        <v>69797.15400000001</v>
      </c>
      <c r="X505" s="399">
        <v>64311.686559999995</v>
      </c>
      <c r="Y505" s="399">
        <v>0</v>
      </c>
      <c r="Z505" s="399">
        <v>13179.519629279743</v>
      </c>
      <c r="AA505" s="399">
        <v>0</v>
      </c>
      <c r="AB505" s="399">
        <v>0</v>
      </c>
      <c r="AC505" s="399">
        <v>0</v>
      </c>
      <c r="AD505" s="399">
        <v>6492.3787934596257</v>
      </c>
      <c r="AE505" s="399">
        <v>10625.354906764967</v>
      </c>
      <c r="AF505" s="399">
        <v>35282.249347505756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2342.3457378138155</v>
      </c>
      <c r="AM505" s="399"/>
      <c r="AN505" s="399">
        <v>149.98375365773117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1725.9168521839949</v>
      </c>
      <c r="BH505" s="399">
        <v>0</v>
      </c>
      <c r="BI505" s="399">
        <v>0</v>
      </c>
      <c r="BJ505" s="399">
        <v>0</v>
      </c>
      <c r="BK505" s="399">
        <v>0</v>
      </c>
      <c r="BL505" s="399">
        <v>0</v>
      </c>
      <c r="BM505" s="399"/>
      <c r="BN505" s="399"/>
      <c r="BO505" s="399"/>
      <c r="BP505" s="399"/>
      <c r="BQ505" s="399">
        <v>3858.7011935999999</v>
      </c>
      <c r="BR505" s="399"/>
      <c r="BS505" s="399"/>
      <c r="BT505" s="399"/>
      <c r="BU505" s="399"/>
      <c r="BV505" s="399">
        <v>37008.166199689753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60452.121999999996</v>
      </c>
      <c r="CJ505" s="399">
        <v>-5157.2327599999917</v>
      </c>
      <c r="CK505" s="399"/>
      <c r="CL505" s="399"/>
      <c r="CM505" s="399"/>
      <c r="CN505" s="399"/>
      <c r="CO505" s="399">
        <v>-5485.4674400000013</v>
      </c>
      <c r="CP505" s="399">
        <v>0</v>
      </c>
      <c r="CQ505" s="399">
        <v>30</v>
      </c>
      <c r="CR505" s="399">
        <v>-896.59425089607248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-30.921272941494863</v>
      </c>
      <c r="DA505" s="399">
        <v>0</v>
      </c>
      <c r="DB505" s="399">
        <v>0</v>
      </c>
      <c r="DC505" s="399">
        <v>0</v>
      </c>
      <c r="DD505" s="399">
        <v>0</v>
      </c>
      <c r="DE505" s="399">
        <v>0</v>
      </c>
      <c r="DF505" s="399">
        <v>0</v>
      </c>
      <c r="DG505" s="399">
        <v>0</v>
      </c>
      <c r="DH505" s="399">
        <v>0</v>
      </c>
      <c r="DI505" s="399">
        <v>-742.58239059041261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-117.04280597653724</v>
      </c>
      <c r="DP505" s="399">
        <v>-6.0477813876249797</v>
      </c>
      <c r="DQ505" s="399">
        <v>0</v>
      </c>
      <c r="DR505" s="399">
        <v>0</v>
      </c>
      <c r="DS505" s="399"/>
      <c r="DT505" s="399"/>
      <c r="DU505" s="399">
        <v>10625.354906764967</v>
      </c>
      <c r="DV505" s="399">
        <v>0</v>
      </c>
      <c r="DW505" s="399">
        <v>0</v>
      </c>
      <c r="DX505" s="399">
        <v>0</v>
      </c>
      <c r="DY505" s="399">
        <v>-5485.4674400000076</v>
      </c>
      <c r="DZ505" s="399">
        <v>0</v>
      </c>
      <c r="EA505" s="399">
        <v>0</v>
      </c>
      <c r="EB505" s="399">
        <v>0</v>
      </c>
      <c r="EC505" s="399">
        <v>-4590.3592829005438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218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504</v>
      </c>
      <c r="B506" s="399" t="s">
        <v>956</v>
      </c>
      <c r="C506" s="399" t="s">
        <v>2398</v>
      </c>
      <c r="D506" s="399" t="s">
        <v>533</v>
      </c>
      <c r="E506" s="399" t="s">
        <v>921</v>
      </c>
      <c r="F506" s="399" t="s">
        <v>2362</v>
      </c>
      <c r="G506" s="399" t="s">
        <v>1239</v>
      </c>
      <c r="H506" s="399" t="s">
        <v>1239</v>
      </c>
      <c r="I506" s="399" t="s">
        <v>1239</v>
      </c>
      <c r="J506" s="399" t="s">
        <v>2329</v>
      </c>
      <c r="K506" s="789">
        <v>44713</v>
      </c>
      <c r="L506" s="399">
        <v>0</v>
      </c>
      <c r="M506" s="399">
        <v>0</v>
      </c>
      <c r="N506" s="399">
        <v>0</v>
      </c>
      <c r="O506" s="399">
        <v>0</v>
      </c>
      <c r="P506" s="399">
        <v>0</v>
      </c>
      <c r="Q506" s="399">
        <v>0</v>
      </c>
      <c r="R506" s="399"/>
      <c r="S506" s="399"/>
      <c r="T506" s="399"/>
      <c r="U506" s="399"/>
      <c r="V506" s="399"/>
      <c r="W506" s="399"/>
      <c r="X506" s="399"/>
      <c r="Y506" s="399"/>
      <c r="Z506" s="399"/>
      <c r="AA506" s="399">
        <v>0</v>
      </c>
      <c r="AB506" s="399"/>
      <c r="AC506" s="399"/>
      <c r="AD506" s="399"/>
      <c r="AE506" s="399"/>
      <c r="AF506" s="399"/>
      <c r="AG506" s="399"/>
      <c r="AH506" s="399"/>
      <c r="AI506" s="399"/>
      <c r="AJ506" s="399"/>
      <c r="AK506" s="399"/>
      <c r="AL506" s="399"/>
      <c r="AM506" s="399"/>
      <c r="AN506" s="399"/>
      <c r="AO506" s="399"/>
      <c r="AP506" s="399"/>
      <c r="AQ506" s="399"/>
      <c r="AR506" s="399"/>
      <c r="AS506" s="399"/>
      <c r="AT506" s="399"/>
      <c r="AU506" s="399"/>
      <c r="AV506" s="399"/>
      <c r="AW506" s="399"/>
      <c r="AX506" s="399"/>
      <c r="AY506" s="399"/>
      <c r="AZ506" s="399">
        <v>0</v>
      </c>
      <c r="BA506" s="399"/>
      <c r="BB506" s="399"/>
      <c r="BC506" s="399"/>
      <c r="BD506" s="399"/>
      <c r="BE506" s="399"/>
      <c r="BF506" s="399"/>
      <c r="BG506" s="399"/>
      <c r="BH506" s="399"/>
      <c r="BI506" s="399">
        <v>728.26</v>
      </c>
      <c r="BJ506" s="399">
        <v>3361.23</v>
      </c>
      <c r="BK506" s="399">
        <v>36813.35</v>
      </c>
      <c r="BL506" s="399">
        <v>2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/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/>
      <c r="CJ506" s="399">
        <v>-0.03</v>
      </c>
      <c r="CK506" s="399"/>
      <c r="CL506" s="399"/>
      <c r="CM506" s="399"/>
      <c r="CN506" s="399"/>
      <c r="CO506" s="399">
        <v>0</v>
      </c>
      <c r="CP506" s="399">
        <v>0</v>
      </c>
      <c r="CQ506" s="399">
        <v>30</v>
      </c>
      <c r="CR506" s="399"/>
      <c r="CS506" s="399"/>
      <c r="CT506" s="399"/>
      <c r="CU506" s="399"/>
      <c r="CV506" s="399"/>
      <c r="CW506" s="399"/>
      <c r="CX506" s="399"/>
      <c r="CY506" s="399"/>
      <c r="CZ506" s="399"/>
      <c r="DA506" s="399"/>
      <c r="DB506" s="399"/>
      <c r="DC506" s="399"/>
      <c r="DD506" s="399"/>
      <c r="DE506" s="399"/>
      <c r="DF506" s="399"/>
      <c r="DG506" s="399"/>
      <c r="DH506" s="399"/>
      <c r="DI506" s="399"/>
      <c r="DJ506" s="399"/>
      <c r="DK506" s="399">
        <v>0</v>
      </c>
      <c r="DL506" s="399"/>
      <c r="DM506" s="399"/>
      <c r="DN506" s="399"/>
      <c r="DO506" s="399"/>
      <c r="DP506" s="399"/>
      <c r="DQ506" s="399"/>
      <c r="DR506" s="399"/>
      <c r="DS506" s="399"/>
      <c r="DT506" s="399"/>
      <c r="DU506" s="399"/>
      <c r="DV506" s="399"/>
      <c r="DW506" s="399"/>
      <c r="DX506" s="399"/>
      <c r="DY506" s="399"/>
      <c r="DZ506" s="399"/>
      <c r="EA506" s="399"/>
      <c r="EB506" s="399"/>
      <c r="EC506" s="399"/>
      <c r="ED506" s="399"/>
      <c r="EE506" s="399"/>
      <c r="EF506" s="399"/>
      <c r="EG506" s="399"/>
      <c r="EH506" s="399"/>
      <c r="EI506" s="399"/>
      <c r="EJ506" s="399"/>
      <c r="EK506" s="399"/>
      <c r="EL506" s="399"/>
      <c r="EM506" s="399"/>
      <c r="EN506" s="399"/>
      <c r="EO506" s="399"/>
      <c r="EP506" s="399"/>
      <c r="EQ506" s="399"/>
      <c r="ER506" s="399"/>
      <c r="ES506" s="399"/>
      <c r="ET506" s="399"/>
      <c r="EU506" s="399"/>
      <c r="EV506" s="399">
        <v>218</v>
      </c>
      <c r="EW506" s="399"/>
      <c r="EX506" s="399"/>
      <c r="EY506" s="399"/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507</v>
      </c>
      <c r="B507" s="399" t="s">
        <v>956</v>
      </c>
      <c r="C507" s="399" t="s">
        <v>2334</v>
      </c>
      <c r="D507" s="399" t="s">
        <v>533</v>
      </c>
      <c r="E507" s="399" t="s">
        <v>921</v>
      </c>
      <c r="F507" s="399" t="s">
        <v>2362</v>
      </c>
      <c r="G507" s="399" t="s">
        <v>1239</v>
      </c>
      <c r="H507" s="399" t="s">
        <v>1239</v>
      </c>
      <c r="I507" s="399" t="s">
        <v>1239</v>
      </c>
      <c r="J507" s="399" t="s">
        <v>2329</v>
      </c>
      <c r="K507" s="789">
        <v>44713</v>
      </c>
      <c r="L507" s="399">
        <v>88</v>
      </c>
      <c r="M507" s="399">
        <v>82.72</v>
      </c>
      <c r="N507" s="399">
        <v>0</v>
      </c>
      <c r="O507" s="399">
        <v>0</v>
      </c>
      <c r="P507" s="399">
        <v>0</v>
      </c>
      <c r="Q507" s="399">
        <v>0</v>
      </c>
      <c r="R507" s="399">
        <v>35.15</v>
      </c>
      <c r="S507" s="399"/>
      <c r="T507" s="399"/>
      <c r="U507" s="399">
        <v>3093.2</v>
      </c>
      <c r="V507" s="399"/>
      <c r="W507" s="399">
        <v>3093.2</v>
      </c>
      <c r="X507" s="399">
        <v>2258.08</v>
      </c>
      <c r="Y507" s="399">
        <v>0</v>
      </c>
      <c r="Z507" s="399">
        <v>0</v>
      </c>
      <c r="AA507" s="399">
        <v>0</v>
      </c>
      <c r="AB507" s="399">
        <v>0</v>
      </c>
      <c r="AC507" s="399">
        <v>0</v>
      </c>
      <c r="AD507" s="399">
        <v>1173.1608497421912</v>
      </c>
      <c r="AE507" s="399">
        <v>1919.9819954729305</v>
      </c>
      <c r="AF507" s="399"/>
      <c r="AG507" s="399"/>
      <c r="AH507" s="399"/>
      <c r="AI507" s="399">
        <v>0</v>
      </c>
      <c r="AJ507" s="399">
        <v>0</v>
      </c>
      <c r="AK507" s="399">
        <v>0</v>
      </c>
      <c r="AL507" s="399">
        <v>0</v>
      </c>
      <c r="AM507" s="399"/>
      <c r="AN507" s="399">
        <v>0</v>
      </c>
      <c r="AO507" s="399">
        <v>0</v>
      </c>
      <c r="AP507" s="399">
        <v>0</v>
      </c>
      <c r="AQ507" s="399">
        <v>0</v>
      </c>
      <c r="AR507" s="399">
        <v>0</v>
      </c>
      <c r="AS507" s="399"/>
      <c r="AT507" s="399"/>
      <c r="AU507" s="399">
        <v>0</v>
      </c>
      <c r="AV507" s="399">
        <v>0</v>
      </c>
      <c r="AW507" s="399">
        <v>0</v>
      </c>
      <c r="AX507" s="399"/>
      <c r="AY507" s="399"/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/>
      <c r="BG507" s="399">
        <v>0</v>
      </c>
      <c r="BH507" s="399">
        <v>0</v>
      </c>
      <c r="BI507" s="399">
        <v>15.23</v>
      </c>
      <c r="BJ507" s="399">
        <v>70.31</v>
      </c>
      <c r="BK507" s="399">
        <v>781.2</v>
      </c>
      <c r="BL507" s="399">
        <v>1</v>
      </c>
      <c r="BM507" s="399"/>
      <c r="BN507" s="399"/>
      <c r="BO507" s="399"/>
      <c r="BP507" s="399"/>
      <c r="BQ507" s="399">
        <v>135.48480000000004</v>
      </c>
      <c r="BR507" s="399"/>
      <c r="BS507" s="399"/>
      <c r="BT507" s="399"/>
      <c r="BU507" s="399"/>
      <c r="BV507" s="399">
        <v>0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2122.5952000000002</v>
      </c>
      <c r="CJ507" s="399">
        <v>-785.04280000000017</v>
      </c>
      <c r="CK507" s="399"/>
      <c r="CL507" s="399"/>
      <c r="CM507" s="399"/>
      <c r="CN507" s="399"/>
      <c r="CO507" s="399">
        <v>-835.11999999999989</v>
      </c>
      <c r="CP507" s="399">
        <v>0</v>
      </c>
      <c r="CQ507" s="399">
        <v>30</v>
      </c>
      <c r="CR507" s="399">
        <v>-5.5874168764919432</v>
      </c>
      <c r="CS507" s="399">
        <v>0</v>
      </c>
      <c r="CT507" s="399">
        <v>0</v>
      </c>
      <c r="CU507" s="399">
        <v>0</v>
      </c>
      <c r="CV507" s="399">
        <v>0</v>
      </c>
      <c r="CW507" s="399"/>
      <c r="CX507" s="399"/>
      <c r="CY507" s="399"/>
      <c r="CZ507" s="399">
        <v>-5.5874168764919432</v>
      </c>
      <c r="DA507" s="399">
        <v>0</v>
      </c>
      <c r="DB507" s="399">
        <v>0</v>
      </c>
      <c r="DC507" s="399"/>
      <c r="DD507" s="399"/>
      <c r="DE507" s="399">
        <v>0</v>
      </c>
      <c r="DF507" s="399">
        <v>0</v>
      </c>
      <c r="DG507" s="399">
        <v>0</v>
      </c>
      <c r="DH507" s="399">
        <v>0</v>
      </c>
      <c r="DI507" s="399">
        <v>0</v>
      </c>
      <c r="DJ507" s="399"/>
      <c r="DK507" s="399">
        <v>0</v>
      </c>
      <c r="DL507" s="399">
        <v>0</v>
      </c>
      <c r="DM507" s="399"/>
      <c r="DN507" s="399">
        <v>0</v>
      </c>
      <c r="DO507" s="399">
        <v>0</v>
      </c>
      <c r="DP507" s="399">
        <v>0</v>
      </c>
      <c r="DQ507" s="399">
        <v>0</v>
      </c>
      <c r="DR507" s="399">
        <v>0</v>
      </c>
      <c r="DS507" s="399"/>
      <c r="DT507" s="399"/>
      <c r="DU507" s="399">
        <v>1919.9819954729305</v>
      </c>
      <c r="DV507" s="399"/>
      <c r="DW507" s="399">
        <v>0</v>
      </c>
      <c r="DX507" s="399">
        <v>0</v>
      </c>
      <c r="DY507" s="399">
        <v>-835.11999999999989</v>
      </c>
      <c r="DZ507" s="399"/>
      <c r="EA507" s="399">
        <v>0</v>
      </c>
      <c r="EB507" s="399"/>
      <c r="EC507" s="399">
        <v>-829.46943920995454</v>
      </c>
      <c r="ED507" s="399"/>
      <c r="EE507" s="399">
        <v>0</v>
      </c>
      <c r="EF507" s="399">
        <v>0</v>
      </c>
      <c r="EG507" s="399"/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/>
      <c r="EN507" s="399"/>
      <c r="EO507" s="399">
        <v>0</v>
      </c>
      <c r="EP507" s="399">
        <v>0</v>
      </c>
      <c r="EQ507" s="399"/>
      <c r="ER507" s="399">
        <v>0</v>
      </c>
      <c r="ES507" s="399"/>
      <c r="ET507" s="399">
        <v>0</v>
      </c>
      <c r="EU507" s="399"/>
      <c r="EV507" s="399">
        <v>218</v>
      </c>
      <c r="EW507" s="399"/>
      <c r="EX507" s="399"/>
      <c r="EY507" s="399"/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508</v>
      </c>
      <c r="B508" s="399" t="s">
        <v>956</v>
      </c>
      <c r="C508" s="399" t="s">
        <v>2328</v>
      </c>
      <c r="D508" s="399" t="s">
        <v>2335</v>
      </c>
      <c r="E508" s="399" t="s">
        <v>894</v>
      </c>
      <c r="F508" s="399" t="s">
        <v>2363</v>
      </c>
      <c r="G508" s="399" t="s">
        <v>2340</v>
      </c>
      <c r="H508" s="399" t="s">
        <v>1239</v>
      </c>
      <c r="I508" s="399" t="s">
        <v>1239</v>
      </c>
      <c r="J508" s="399" t="s">
        <v>2329</v>
      </c>
      <c r="K508" s="789">
        <v>44713</v>
      </c>
      <c r="L508" s="399">
        <v>0</v>
      </c>
      <c r="M508" s="399">
        <v>0</v>
      </c>
      <c r="N508" s="399">
        <v>0</v>
      </c>
      <c r="O508" s="399">
        <v>0</v>
      </c>
      <c r="P508" s="399">
        <v>0</v>
      </c>
      <c r="Q508" s="399">
        <v>0</v>
      </c>
      <c r="R508" s="399"/>
      <c r="S508" s="399"/>
      <c r="T508" s="399"/>
      <c r="U508" s="399"/>
      <c r="V508" s="399"/>
      <c r="W508" s="399"/>
      <c r="X508" s="399"/>
      <c r="Y508" s="399"/>
      <c r="Z508" s="399"/>
      <c r="AA508" s="399">
        <v>0</v>
      </c>
      <c r="AB508" s="399"/>
      <c r="AC508" s="399"/>
      <c r="AD508" s="399"/>
      <c r="AE508" s="399"/>
      <c r="AF508" s="399"/>
      <c r="AG508" s="399"/>
      <c r="AH508" s="399"/>
      <c r="AI508" s="399"/>
      <c r="AJ508" s="399"/>
      <c r="AK508" s="399"/>
      <c r="AL508" s="399"/>
      <c r="AM508" s="399"/>
      <c r="AN508" s="399"/>
      <c r="AO508" s="399"/>
      <c r="AP508" s="399"/>
      <c r="AQ508" s="399"/>
      <c r="AR508" s="399"/>
      <c r="AS508" s="399"/>
      <c r="AT508" s="399"/>
      <c r="AU508" s="399"/>
      <c r="AV508" s="399"/>
      <c r="AW508" s="399"/>
      <c r="AX508" s="399"/>
      <c r="AY508" s="399"/>
      <c r="AZ508" s="399">
        <v>0</v>
      </c>
      <c r="BA508" s="399"/>
      <c r="BB508" s="399"/>
      <c r="BC508" s="399"/>
      <c r="BD508" s="399"/>
      <c r="BE508" s="399"/>
      <c r="BF508" s="399"/>
      <c r="BG508" s="399"/>
      <c r="BH508" s="399"/>
      <c r="BI508" s="399">
        <v>13.6</v>
      </c>
      <c r="BJ508" s="399">
        <v>63.46</v>
      </c>
      <c r="BK508" s="399">
        <v>316.67</v>
      </c>
      <c r="BL508" s="399">
        <v>24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/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/>
      <c r="CJ508" s="399">
        <v>-0.03</v>
      </c>
      <c r="CK508" s="399"/>
      <c r="CL508" s="399"/>
      <c r="CM508" s="399"/>
      <c r="CN508" s="399"/>
      <c r="CO508" s="399">
        <v>0</v>
      </c>
      <c r="CP508" s="399">
        <v>0</v>
      </c>
      <c r="CQ508" s="399">
        <v>30</v>
      </c>
      <c r="CR508" s="399"/>
      <c r="CS508" s="399"/>
      <c r="CT508" s="399"/>
      <c r="CU508" s="399"/>
      <c r="CV508" s="399"/>
      <c r="CW508" s="399"/>
      <c r="CX508" s="399"/>
      <c r="CY508" s="399"/>
      <c r="CZ508" s="399"/>
      <c r="DA508" s="399"/>
      <c r="DB508" s="399"/>
      <c r="DC508" s="399"/>
      <c r="DD508" s="399"/>
      <c r="DE508" s="399"/>
      <c r="DF508" s="399"/>
      <c r="DG508" s="399"/>
      <c r="DH508" s="399"/>
      <c r="DI508" s="399"/>
      <c r="DJ508" s="399"/>
      <c r="DK508" s="399">
        <v>0</v>
      </c>
      <c r="DL508" s="399"/>
      <c r="DM508" s="399"/>
      <c r="DN508" s="399"/>
      <c r="DO508" s="399"/>
      <c r="DP508" s="399"/>
      <c r="DQ508" s="399"/>
      <c r="DR508" s="399"/>
      <c r="DS508" s="399"/>
      <c r="DT508" s="399"/>
      <c r="DU508" s="399"/>
      <c r="DV508" s="399"/>
      <c r="DW508" s="399"/>
      <c r="DX508" s="399"/>
      <c r="DY508" s="399"/>
      <c r="DZ508" s="399"/>
      <c r="EA508" s="399"/>
      <c r="EB508" s="399"/>
      <c r="EC508" s="399"/>
      <c r="ED508" s="399"/>
      <c r="EE508" s="399"/>
      <c r="EF508" s="399"/>
      <c r="EG508" s="399"/>
      <c r="EH508" s="399"/>
      <c r="EI508" s="399"/>
      <c r="EJ508" s="399"/>
      <c r="EK508" s="399"/>
      <c r="EL508" s="399"/>
      <c r="EM508" s="399"/>
      <c r="EN508" s="399"/>
      <c r="EO508" s="399"/>
      <c r="EP508" s="399"/>
      <c r="EQ508" s="399"/>
      <c r="ER508" s="399"/>
      <c r="ES508" s="399"/>
      <c r="ET508" s="399"/>
      <c r="EU508" s="399"/>
      <c r="EV508" s="399">
        <v>218</v>
      </c>
      <c r="EW508" s="399"/>
      <c r="EX508" s="399"/>
      <c r="EY508" s="399"/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509</v>
      </c>
      <c r="B509" s="399" t="s">
        <v>956</v>
      </c>
      <c r="C509" s="399" t="s">
        <v>2328</v>
      </c>
      <c r="D509" s="399" t="s">
        <v>2335</v>
      </c>
      <c r="E509" s="399" t="s">
        <v>894</v>
      </c>
      <c r="F509" s="399" t="s">
        <v>2363</v>
      </c>
      <c r="G509" s="399" t="s">
        <v>2340</v>
      </c>
      <c r="H509" s="399" t="s">
        <v>1239</v>
      </c>
      <c r="I509" s="399" t="s">
        <v>1239</v>
      </c>
      <c r="J509" s="399" t="s">
        <v>2329</v>
      </c>
      <c r="K509" s="789">
        <v>44713</v>
      </c>
      <c r="L509" s="399">
        <v>0</v>
      </c>
      <c r="M509" s="399">
        <v>0</v>
      </c>
      <c r="N509" s="399">
        <v>3.0910000000000002</v>
      </c>
      <c r="O509" s="399">
        <v>3.0910000000000002</v>
      </c>
      <c r="P509" s="399">
        <v>3.0910000000000002</v>
      </c>
      <c r="Q509" s="399">
        <v>3.0910000000000002</v>
      </c>
      <c r="R509" s="399"/>
      <c r="S509" s="399">
        <v>521.86</v>
      </c>
      <c r="T509" s="399">
        <v>141.32</v>
      </c>
      <c r="U509" s="399"/>
      <c r="V509" s="399">
        <v>2049.8893800000001</v>
      </c>
      <c r="W509" s="399">
        <v>2049.8893800000001</v>
      </c>
      <c r="X509" s="399">
        <v>1602.1580300000001</v>
      </c>
      <c r="Y509" s="399">
        <v>0</v>
      </c>
      <c r="Z509" s="399">
        <v>187.55273834748238</v>
      </c>
      <c r="AA509" s="399">
        <v>0</v>
      </c>
      <c r="AB509" s="399">
        <v>0</v>
      </c>
      <c r="AC509" s="399">
        <v>0</v>
      </c>
      <c r="AD509" s="399">
        <v>332.4488026720781</v>
      </c>
      <c r="AE509" s="399">
        <v>1004.4229069062018</v>
      </c>
      <c r="AF509" s="399">
        <v>436.8168127288688</v>
      </c>
      <c r="AG509" s="399">
        <v>0</v>
      </c>
      <c r="AH509" s="399">
        <v>0</v>
      </c>
      <c r="AI509" s="399">
        <v>0</v>
      </c>
      <c r="AJ509" s="399">
        <v>0</v>
      </c>
      <c r="AK509" s="399">
        <v>0</v>
      </c>
      <c r="AL509" s="399">
        <v>28.999738350673322</v>
      </c>
      <c r="AM509" s="399"/>
      <c r="AN509" s="399">
        <v>4.2868049186235435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55.344039751990799</v>
      </c>
      <c r="BH509" s="399">
        <v>0</v>
      </c>
      <c r="BI509" s="399">
        <v>0</v>
      </c>
      <c r="BJ509" s="399">
        <v>0</v>
      </c>
      <c r="BK509" s="399">
        <v>0</v>
      </c>
      <c r="BL509" s="399">
        <v>0</v>
      </c>
      <c r="BM509" s="399"/>
      <c r="BN509" s="399"/>
      <c r="BO509" s="399"/>
      <c r="BP509" s="399"/>
      <c r="BQ509" s="399"/>
      <c r="BR509" s="399">
        <v>192.2602</v>
      </c>
      <c r="BS509" s="399"/>
      <c r="BT509" s="399"/>
      <c r="BU509" s="399"/>
      <c r="BV509" s="399">
        <v>492.1608524808596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1409.4416999999999</v>
      </c>
      <c r="CJ509" s="399">
        <v>-394.4649900000004</v>
      </c>
      <c r="CK509" s="399"/>
      <c r="CL509" s="399"/>
      <c r="CM509" s="399"/>
      <c r="CN509" s="399"/>
      <c r="CO509" s="399">
        <v>-447.73135000000008</v>
      </c>
      <c r="CP509" s="399">
        <v>0</v>
      </c>
      <c r="CQ509" s="399">
        <v>30</v>
      </c>
      <c r="CR509" s="399">
        <v>-13.772684177476094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-1.5833549602589301</v>
      </c>
      <c r="DA509" s="399">
        <v>0</v>
      </c>
      <c r="DB509" s="399">
        <v>0</v>
      </c>
      <c r="DC509" s="399">
        <v>0</v>
      </c>
      <c r="DD509" s="399">
        <v>0</v>
      </c>
      <c r="DE509" s="399">
        <v>0</v>
      </c>
      <c r="DF509" s="399">
        <v>0</v>
      </c>
      <c r="DG509" s="399">
        <v>0</v>
      </c>
      <c r="DH509" s="399">
        <v>0</v>
      </c>
      <c r="DI509" s="399">
        <v>-10.567407972475422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-1.4490647961799716</v>
      </c>
      <c r="DP509" s="399">
        <v>-0.17285644856169657</v>
      </c>
      <c r="DQ509" s="399">
        <v>0</v>
      </c>
      <c r="DR509" s="399">
        <v>0</v>
      </c>
      <c r="DS509" s="399"/>
      <c r="DT509" s="399"/>
      <c r="DU509" s="399"/>
      <c r="DV509" s="399">
        <v>1004.4229069062018</v>
      </c>
      <c r="DW509" s="399">
        <v>0</v>
      </c>
      <c r="DX509" s="399">
        <v>0</v>
      </c>
      <c r="DY509" s="399">
        <v>-447.73135000000025</v>
      </c>
      <c r="DZ509" s="399">
        <v>0</v>
      </c>
      <c r="EA509" s="399">
        <v>0</v>
      </c>
      <c r="EB509" s="399">
        <v>0</v>
      </c>
      <c r="EC509" s="399">
        <v>-433.93016563986009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218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510</v>
      </c>
      <c r="B510" s="399" t="s">
        <v>956</v>
      </c>
      <c r="C510" s="399" t="s">
        <v>2328</v>
      </c>
      <c r="D510" s="399" t="s">
        <v>2335</v>
      </c>
      <c r="E510" s="399" t="s">
        <v>894</v>
      </c>
      <c r="F510" s="399" t="s">
        <v>2363</v>
      </c>
      <c r="G510" s="399" t="s">
        <v>2341</v>
      </c>
      <c r="H510" s="399" t="s">
        <v>1239</v>
      </c>
      <c r="I510" s="399" t="s">
        <v>1239</v>
      </c>
      <c r="J510" s="399" t="s">
        <v>2329</v>
      </c>
      <c r="K510" s="789">
        <v>44713</v>
      </c>
      <c r="L510" s="399">
        <v>0</v>
      </c>
      <c r="M510" s="399">
        <v>0</v>
      </c>
      <c r="N510" s="399">
        <v>0.83799999999999997</v>
      </c>
      <c r="O510" s="399">
        <v>0.3352</v>
      </c>
      <c r="P510" s="399">
        <v>0.83799999999999997</v>
      </c>
      <c r="Q510" s="399">
        <v>0.3352</v>
      </c>
      <c r="R510" s="399"/>
      <c r="S510" s="399">
        <v>521.86</v>
      </c>
      <c r="T510" s="399">
        <v>141.32</v>
      </c>
      <c r="U510" s="399"/>
      <c r="V510" s="399">
        <v>555.74483999999995</v>
      </c>
      <c r="W510" s="399">
        <v>555.74483999999995</v>
      </c>
      <c r="X510" s="399">
        <v>434.36053999999996</v>
      </c>
      <c r="Y510" s="399">
        <v>0</v>
      </c>
      <c r="Z510" s="399">
        <v>50.847361609573028</v>
      </c>
      <c r="AA510" s="399">
        <v>0</v>
      </c>
      <c r="AB510" s="399">
        <v>0</v>
      </c>
      <c r="AC510" s="399">
        <v>0</v>
      </c>
      <c r="AD510" s="399">
        <v>90.130086263086838</v>
      </c>
      <c r="AE510" s="399">
        <v>272.30876609103751</v>
      </c>
      <c r="AF510" s="399">
        <v>118.42526336680427</v>
      </c>
      <c r="AG510" s="399">
        <v>0</v>
      </c>
      <c r="AH510" s="399">
        <v>0</v>
      </c>
      <c r="AI510" s="399">
        <v>0</v>
      </c>
      <c r="AJ510" s="399">
        <v>0</v>
      </c>
      <c r="AK510" s="399">
        <v>0</v>
      </c>
      <c r="AL510" s="399">
        <v>7.8621095884387708</v>
      </c>
      <c r="AM510" s="399"/>
      <c r="AN510" s="399">
        <v>1.1621942807526784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15.004304533215233</v>
      </c>
      <c r="BH510" s="399">
        <v>0</v>
      </c>
      <c r="BI510" s="399">
        <v>0</v>
      </c>
      <c r="BJ510" s="399">
        <v>0</v>
      </c>
      <c r="BK510" s="399">
        <v>0</v>
      </c>
      <c r="BL510" s="399">
        <v>0</v>
      </c>
      <c r="BM510" s="399"/>
      <c r="BN510" s="399"/>
      <c r="BO510" s="399"/>
      <c r="BP510" s="399"/>
      <c r="BQ510" s="399"/>
      <c r="BR510" s="399"/>
      <c r="BS510" s="399">
        <v>281.46576399999992</v>
      </c>
      <c r="BT510" s="399"/>
      <c r="BU510" s="399"/>
      <c r="BV510" s="399">
        <v>133.42956790001949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155.08420000000001</v>
      </c>
      <c r="CJ510" s="399">
        <v>-40.565167999999971</v>
      </c>
      <c r="CK510" s="399"/>
      <c r="CL510" s="399"/>
      <c r="CM510" s="399"/>
      <c r="CN510" s="399"/>
      <c r="CO510" s="399">
        <v>-121.38430000000001</v>
      </c>
      <c r="CP510" s="399">
        <v>0</v>
      </c>
      <c r="CQ510" s="399">
        <v>30</v>
      </c>
      <c r="CR510" s="399">
        <v>-3.733907907060825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-0.42926284590649288</v>
      </c>
      <c r="DA510" s="399">
        <v>0</v>
      </c>
      <c r="DB510" s="399">
        <v>0</v>
      </c>
      <c r="DC510" s="399">
        <v>0</v>
      </c>
      <c r="DD510" s="399">
        <v>0</v>
      </c>
      <c r="DE510" s="399">
        <v>0</v>
      </c>
      <c r="DF510" s="399">
        <v>0</v>
      </c>
      <c r="DG510" s="399">
        <v>0</v>
      </c>
      <c r="DH510" s="399">
        <v>0</v>
      </c>
      <c r="DI510" s="399">
        <v>-2.8649265224634135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-0.39285548340304643</v>
      </c>
      <c r="DP510" s="399">
        <v>-4.6863055287836186E-2</v>
      </c>
      <c r="DQ510" s="399">
        <v>0</v>
      </c>
      <c r="DR510" s="399">
        <v>0</v>
      </c>
      <c r="DS510" s="399"/>
      <c r="DT510" s="399"/>
      <c r="DU510" s="399"/>
      <c r="DV510" s="399">
        <v>272.30876609103751</v>
      </c>
      <c r="DW510" s="399">
        <v>0</v>
      </c>
      <c r="DX510" s="399">
        <v>0</v>
      </c>
      <c r="DY510" s="399">
        <v>-121.3843</v>
      </c>
      <c r="DZ510" s="399">
        <v>0</v>
      </c>
      <c r="EA510" s="399">
        <v>0</v>
      </c>
      <c r="EB510" s="399">
        <v>0</v>
      </c>
      <c r="EC510" s="399">
        <v>-117.64266541772977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218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511</v>
      </c>
      <c r="B511" s="399" t="s">
        <v>956</v>
      </c>
      <c r="C511" s="399" t="s">
        <v>2328</v>
      </c>
      <c r="D511" s="399" t="s">
        <v>2335</v>
      </c>
      <c r="E511" s="399" t="s">
        <v>894</v>
      </c>
      <c r="F511" s="399" t="s">
        <v>2342</v>
      </c>
      <c r="G511" s="399" t="s">
        <v>2340</v>
      </c>
      <c r="H511" s="399" t="s">
        <v>1239</v>
      </c>
      <c r="I511" s="399" t="s">
        <v>1239</v>
      </c>
      <c r="J511" s="399" t="s">
        <v>2329</v>
      </c>
      <c r="K511" s="789">
        <v>44713</v>
      </c>
      <c r="L511" s="399">
        <v>0</v>
      </c>
      <c r="M511" s="399">
        <v>0</v>
      </c>
      <c r="N511" s="399">
        <v>0</v>
      </c>
      <c r="O511" s="399">
        <v>0</v>
      </c>
      <c r="P511" s="399">
        <v>0</v>
      </c>
      <c r="Q511" s="399">
        <v>0</v>
      </c>
      <c r="R511" s="399"/>
      <c r="S511" s="399"/>
      <c r="T511" s="399"/>
      <c r="U511" s="399"/>
      <c r="V511" s="399"/>
      <c r="W511" s="399"/>
      <c r="X511" s="399"/>
      <c r="Y511" s="399"/>
      <c r="Z511" s="399"/>
      <c r="AA511" s="399">
        <v>0</v>
      </c>
      <c r="AB511" s="399"/>
      <c r="AC511" s="399"/>
      <c r="AD511" s="399"/>
      <c r="AE511" s="399"/>
      <c r="AF511" s="399"/>
      <c r="AG511" s="399"/>
      <c r="AH511" s="399"/>
      <c r="AI511" s="399"/>
      <c r="AJ511" s="399"/>
      <c r="AK511" s="399"/>
      <c r="AL511" s="399"/>
      <c r="AM511" s="399"/>
      <c r="AN511" s="399"/>
      <c r="AO511" s="399"/>
      <c r="AP511" s="399"/>
      <c r="AQ511" s="399"/>
      <c r="AR511" s="399"/>
      <c r="AS511" s="399"/>
      <c r="AT511" s="399"/>
      <c r="AU511" s="399"/>
      <c r="AV511" s="399"/>
      <c r="AW511" s="399"/>
      <c r="AX511" s="399"/>
      <c r="AY511" s="399"/>
      <c r="AZ511" s="399">
        <v>0</v>
      </c>
      <c r="BA511" s="399"/>
      <c r="BB511" s="399"/>
      <c r="BC511" s="399"/>
      <c r="BD511" s="399"/>
      <c r="BE511" s="399"/>
      <c r="BF511" s="399"/>
      <c r="BG511" s="399"/>
      <c r="BH511" s="399"/>
      <c r="BI511" s="399">
        <v>37.28</v>
      </c>
      <c r="BJ511" s="399">
        <v>172.54</v>
      </c>
      <c r="BK511" s="399">
        <v>1455.67</v>
      </c>
      <c r="BL511" s="399">
        <v>15</v>
      </c>
      <c r="BM511" s="399"/>
      <c r="BN511" s="399"/>
      <c r="BO511" s="399"/>
      <c r="BP511" s="399"/>
      <c r="BQ511" s="399"/>
      <c r="BR511" s="399"/>
      <c r="BS511" s="399"/>
      <c r="BT511" s="399"/>
      <c r="BU511" s="399"/>
      <c r="BV511" s="399"/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/>
      <c r="CJ511" s="399">
        <v>-0.03</v>
      </c>
      <c r="CK511" s="399"/>
      <c r="CL511" s="399"/>
      <c r="CM511" s="399"/>
      <c r="CN511" s="399"/>
      <c r="CO511" s="399">
        <v>0</v>
      </c>
      <c r="CP511" s="399">
        <v>0</v>
      </c>
      <c r="CQ511" s="399">
        <v>30</v>
      </c>
      <c r="CR511" s="399"/>
      <c r="CS511" s="399"/>
      <c r="CT511" s="399"/>
      <c r="CU511" s="399"/>
      <c r="CV511" s="399"/>
      <c r="CW511" s="399"/>
      <c r="CX511" s="399"/>
      <c r="CY511" s="399"/>
      <c r="CZ511" s="399"/>
      <c r="DA511" s="399"/>
      <c r="DB511" s="399"/>
      <c r="DC511" s="399"/>
      <c r="DD511" s="399"/>
      <c r="DE511" s="399"/>
      <c r="DF511" s="399"/>
      <c r="DG511" s="399"/>
      <c r="DH511" s="399"/>
      <c r="DI511" s="399"/>
      <c r="DJ511" s="399"/>
      <c r="DK511" s="399">
        <v>0</v>
      </c>
      <c r="DL511" s="399"/>
      <c r="DM511" s="399"/>
      <c r="DN511" s="399"/>
      <c r="DO511" s="399"/>
      <c r="DP511" s="399"/>
      <c r="DQ511" s="399"/>
      <c r="DR511" s="399"/>
      <c r="DS511" s="399"/>
      <c r="DT511" s="399"/>
      <c r="DU511" s="399"/>
      <c r="DV511" s="399"/>
      <c r="DW511" s="399"/>
      <c r="DX511" s="399"/>
      <c r="DY511" s="399"/>
      <c r="DZ511" s="399"/>
      <c r="EA511" s="399"/>
      <c r="EB511" s="399"/>
      <c r="EC511" s="399"/>
      <c r="ED511" s="399"/>
      <c r="EE511" s="399"/>
      <c r="EF511" s="399"/>
      <c r="EG511" s="399"/>
      <c r="EH511" s="399"/>
      <c r="EI511" s="399"/>
      <c r="EJ511" s="399"/>
      <c r="EK511" s="399"/>
      <c r="EL511" s="399"/>
      <c r="EM511" s="399"/>
      <c r="EN511" s="399"/>
      <c r="EO511" s="399"/>
      <c r="EP511" s="399"/>
      <c r="EQ511" s="399"/>
      <c r="ER511" s="399"/>
      <c r="ES511" s="399"/>
      <c r="ET511" s="399"/>
      <c r="EU511" s="399"/>
      <c r="EV511" s="399">
        <v>218</v>
      </c>
      <c r="EW511" s="399"/>
      <c r="EX511" s="399"/>
      <c r="EY511" s="399"/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512</v>
      </c>
      <c r="B512" s="399" t="s">
        <v>2361</v>
      </c>
      <c r="C512" s="399" t="s">
        <v>2328</v>
      </c>
      <c r="D512" s="399" t="s">
        <v>2335</v>
      </c>
      <c r="E512" s="399" t="s">
        <v>894</v>
      </c>
      <c r="F512" s="399" t="s">
        <v>2342</v>
      </c>
      <c r="G512" s="399" t="s">
        <v>2340</v>
      </c>
      <c r="H512" s="399" t="s">
        <v>1239</v>
      </c>
      <c r="I512" s="399" t="s">
        <v>1239</v>
      </c>
      <c r="J512" s="399" t="s">
        <v>2329</v>
      </c>
      <c r="K512" s="789">
        <v>44713</v>
      </c>
      <c r="L512" s="399">
        <v>0</v>
      </c>
      <c r="M512" s="399">
        <v>0</v>
      </c>
      <c r="N512" s="399">
        <v>0</v>
      </c>
      <c r="O512" s="399">
        <v>0</v>
      </c>
      <c r="P512" s="399">
        <v>0</v>
      </c>
      <c r="Q512" s="399">
        <v>0</v>
      </c>
      <c r="R512" s="399"/>
      <c r="S512" s="399"/>
      <c r="T512" s="399"/>
      <c r="U512" s="399"/>
      <c r="V512" s="399"/>
      <c r="W512" s="399"/>
      <c r="X512" s="399"/>
      <c r="Y512" s="399"/>
      <c r="Z512" s="399"/>
      <c r="AA512" s="399">
        <v>0</v>
      </c>
      <c r="AB512" s="399"/>
      <c r="AC512" s="399"/>
      <c r="AD512" s="399"/>
      <c r="AE512" s="399"/>
      <c r="AF512" s="399"/>
      <c r="AG512" s="399"/>
      <c r="AH512" s="399"/>
      <c r="AI512" s="399"/>
      <c r="AJ512" s="399"/>
      <c r="AK512" s="399"/>
      <c r="AL512" s="399"/>
      <c r="AM512" s="399"/>
      <c r="AN512" s="399"/>
      <c r="AO512" s="399"/>
      <c r="AP512" s="399"/>
      <c r="AQ512" s="399"/>
      <c r="AR512" s="399"/>
      <c r="AS512" s="399"/>
      <c r="AT512" s="399"/>
      <c r="AU512" s="399"/>
      <c r="AV512" s="399"/>
      <c r="AW512" s="399"/>
      <c r="AX512" s="399"/>
      <c r="AY512" s="399"/>
      <c r="AZ512" s="399">
        <v>0</v>
      </c>
      <c r="BA512" s="399"/>
      <c r="BB512" s="399"/>
      <c r="BC512" s="399"/>
      <c r="BD512" s="399"/>
      <c r="BE512" s="399"/>
      <c r="BF512" s="399"/>
      <c r="BG512" s="399"/>
      <c r="BH512" s="399"/>
      <c r="BI512" s="399">
        <v>0.68</v>
      </c>
      <c r="BJ512" s="399">
        <v>3.24</v>
      </c>
      <c r="BK512" s="399">
        <v>41.66</v>
      </c>
      <c r="BL512" s="399">
        <v>4</v>
      </c>
      <c r="BM512" s="399"/>
      <c r="BN512" s="399"/>
      <c r="BO512" s="399"/>
      <c r="BP512" s="399"/>
      <c r="BQ512" s="399"/>
      <c r="BR512" s="399"/>
      <c r="BS512" s="399"/>
      <c r="BT512" s="399"/>
      <c r="BU512" s="399"/>
      <c r="BV512" s="399"/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/>
      <c r="CJ512" s="399">
        <v>-0.03</v>
      </c>
      <c r="CK512" s="399"/>
      <c r="CL512" s="399"/>
      <c r="CM512" s="399"/>
      <c r="CN512" s="399"/>
      <c r="CO512" s="399">
        <v>0</v>
      </c>
      <c r="CP512" s="399">
        <v>0</v>
      </c>
      <c r="CQ512" s="399">
        <v>30</v>
      </c>
      <c r="CR512" s="399"/>
      <c r="CS512" s="399"/>
      <c r="CT512" s="399"/>
      <c r="CU512" s="399"/>
      <c r="CV512" s="399"/>
      <c r="CW512" s="399"/>
      <c r="CX512" s="399"/>
      <c r="CY512" s="399"/>
      <c r="CZ512" s="399"/>
      <c r="DA512" s="399"/>
      <c r="DB512" s="399"/>
      <c r="DC512" s="399"/>
      <c r="DD512" s="399"/>
      <c r="DE512" s="399"/>
      <c r="DF512" s="399"/>
      <c r="DG512" s="399"/>
      <c r="DH512" s="399"/>
      <c r="DI512" s="399"/>
      <c r="DJ512" s="399"/>
      <c r="DK512" s="399">
        <v>0</v>
      </c>
      <c r="DL512" s="399"/>
      <c r="DM512" s="399"/>
      <c r="DN512" s="399"/>
      <c r="DO512" s="399"/>
      <c r="DP512" s="399"/>
      <c r="DQ512" s="399"/>
      <c r="DR512" s="399"/>
      <c r="DS512" s="399"/>
      <c r="DT512" s="399"/>
      <c r="DU512" s="399"/>
      <c r="DV512" s="399"/>
      <c r="DW512" s="399"/>
      <c r="DX512" s="399"/>
      <c r="DY512" s="399"/>
      <c r="DZ512" s="399"/>
      <c r="EA512" s="399"/>
      <c r="EB512" s="399"/>
      <c r="EC512" s="399"/>
      <c r="ED512" s="399"/>
      <c r="EE512" s="399"/>
      <c r="EF512" s="399"/>
      <c r="EG512" s="399"/>
      <c r="EH512" s="399"/>
      <c r="EI512" s="399"/>
      <c r="EJ512" s="399"/>
      <c r="EK512" s="399"/>
      <c r="EL512" s="399"/>
      <c r="EM512" s="399"/>
      <c r="EN512" s="399"/>
      <c r="EO512" s="399"/>
      <c r="EP512" s="399"/>
      <c r="EQ512" s="399"/>
      <c r="ER512" s="399"/>
      <c r="ES512" s="399"/>
      <c r="ET512" s="399"/>
      <c r="EU512" s="399"/>
      <c r="EV512" s="399">
        <v>218</v>
      </c>
      <c r="EW512" s="399"/>
      <c r="EX512" s="399"/>
      <c r="EY512" s="399"/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513</v>
      </c>
      <c r="B513" s="399" t="s">
        <v>956</v>
      </c>
      <c r="C513" s="399" t="s">
        <v>2328</v>
      </c>
      <c r="D513" s="399" t="s">
        <v>2335</v>
      </c>
      <c r="E513" s="399" t="s">
        <v>894</v>
      </c>
      <c r="F513" s="399" t="s">
        <v>2342</v>
      </c>
      <c r="G513" s="399" t="s">
        <v>2340</v>
      </c>
      <c r="H513" s="399" t="s">
        <v>1239</v>
      </c>
      <c r="I513" s="399" t="s">
        <v>1239</v>
      </c>
      <c r="J513" s="399" t="s">
        <v>2329</v>
      </c>
      <c r="K513" s="789">
        <v>44713</v>
      </c>
      <c r="L513" s="399">
        <v>0</v>
      </c>
      <c r="M513" s="399">
        <v>0</v>
      </c>
      <c r="N513" s="399">
        <v>5.0439999999999996</v>
      </c>
      <c r="O513" s="399">
        <v>5.0439999999999996</v>
      </c>
      <c r="P513" s="399">
        <v>5.0439999999999996</v>
      </c>
      <c r="Q513" s="399">
        <v>5.0439999999999996</v>
      </c>
      <c r="R513" s="399"/>
      <c r="S513" s="399">
        <v>521.86</v>
      </c>
      <c r="T513" s="399">
        <v>141.32</v>
      </c>
      <c r="U513" s="399"/>
      <c r="V513" s="399">
        <v>3345.0799199999997</v>
      </c>
      <c r="W513" s="399">
        <v>3345.0799199999997</v>
      </c>
      <c r="X513" s="399">
        <v>2614.4565199999997</v>
      </c>
      <c r="Y513" s="399">
        <v>0</v>
      </c>
      <c r="Z513" s="399">
        <v>306.05500233733454</v>
      </c>
      <c r="AA513" s="399">
        <v>0</v>
      </c>
      <c r="AB513" s="399">
        <v>0</v>
      </c>
      <c r="AC513" s="399">
        <v>0</v>
      </c>
      <c r="AD513" s="399">
        <v>542.5013784140931</v>
      </c>
      <c r="AE513" s="399">
        <v>1639.0518092639536</v>
      </c>
      <c r="AF513" s="399">
        <v>712.81268308133735</v>
      </c>
      <c r="AG513" s="399">
        <v>0</v>
      </c>
      <c r="AH513" s="399">
        <v>0</v>
      </c>
      <c r="AI513" s="399">
        <v>0</v>
      </c>
      <c r="AJ513" s="399">
        <v>0</v>
      </c>
      <c r="AK513" s="399">
        <v>0</v>
      </c>
      <c r="AL513" s="399">
        <v>47.322769408216182</v>
      </c>
      <c r="AM513" s="399"/>
      <c r="AN513" s="399">
        <v>6.9953555514516816</v>
      </c>
      <c r="AO513" s="399">
        <v>0</v>
      </c>
      <c r="AP513" s="399">
        <v>0</v>
      </c>
      <c r="AQ513" s="399">
        <v>0</v>
      </c>
      <c r="AR513" s="399">
        <v>0</v>
      </c>
      <c r="AS513" s="399">
        <v>0</v>
      </c>
      <c r="AT513" s="399">
        <v>0</v>
      </c>
      <c r="AU513" s="399">
        <v>0</v>
      </c>
      <c r="AV513" s="399">
        <v>0</v>
      </c>
      <c r="AW513" s="399">
        <v>0</v>
      </c>
      <c r="AX513" s="399">
        <v>0</v>
      </c>
      <c r="AY513" s="399">
        <v>0</v>
      </c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>
        <v>0</v>
      </c>
      <c r="BG513" s="399">
        <v>90.312305567467348</v>
      </c>
      <c r="BH513" s="399">
        <v>0</v>
      </c>
      <c r="BI513" s="399">
        <v>0</v>
      </c>
      <c r="BJ513" s="399">
        <v>0</v>
      </c>
      <c r="BK513" s="399">
        <v>0</v>
      </c>
      <c r="BL513" s="399">
        <v>0</v>
      </c>
      <c r="BM513" s="399"/>
      <c r="BN513" s="399"/>
      <c r="BO513" s="399"/>
      <c r="BP513" s="399"/>
      <c r="BQ513" s="399"/>
      <c r="BR513" s="399">
        <v>313.73680000000002</v>
      </c>
      <c r="BS513" s="399"/>
      <c r="BT513" s="399"/>
      <c r="BU513" s="399"/>
      <c r="BV513" s="399">
        <v>803.12498864880467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2298.8951999999999</v>
      </c>
      <c r="CJ513" s="399">
        <v>-644.76276000000053</v>
      </c>
      <c r="CK513" s="399"/>
      <c r="CL513" s="399"/>
      <c r="CM513" s="399"/>
      <c r="CN513" s="399"/>
      <c r="CO513" s="399">
        <v>-730.62340000000006</v>
      </c>
      <c r="CP513" s="399">
        <v>0</v>
      </c>
      <c r="CQ513" s="399">
        <v>30</v>
      </c>
      <c r="CR513" s="399">
        <v>-22.474739240112967</v>
      </c>
      <c r="CS513" s="399">
        <v>0</v>
      </c>
      <c r="CT513" s="399">
        <v>0</v>
      </c>
      <c r="CU513" s="399">
        <v>0</v>
      </c>
      <c r="CV513" s="399">
        <v>0</v>
      </c>
      <c r="CW513" s="399">
        <v>0</v>
      </c>
      <c r="CX513" s="399">
        <v>0</v>
      </c>
      <c r="CY513" s="399">
        <v>0</v>
      </c>
      <c r="CZ513" s="399">
        <v>-2.5837730247642412</v>
      </c>
      <c r="DA513" s="399">
        <v>0</v>
      </c>
      <c r="DB513" s="399">
        <v>0</v>
      </c>
      <c r="DC513" s="399">
        <v>0</v>
      </c>
      <c r="DD513" s="399">
        <v>0</v>
      </c>
      <c r="DE513" s="399">
        <v>0</v>
      </c>
      <c r="DF513" s="399">
        <v>0</v>
      </c>
      <c r="DG513" s="399">
        <v>0</v>
      </c>
      <c r="DH513" s="399">
        <v>0</v>
      </c>
      <c r="DI513" s="399">
        <v>-17.244259402512512</v>
      </c>
      <c r="DJ513" s="399"/>
      <c r="DK513" s="399">
        <v>0</v>
      </c>
      <c r="DL513" s="399">
        <v>0</v>
      </c>
      <c r="DM513" s="399">
        <v>0</v>
      </c>
      <c r="DN513" s="399">
        <v>0</v>
      </c>
      <c r="DO513" s="399">
        <v>-2.3646337211037789</v>
      </c>
      <c r="DP513" s="399">
        <v>-0.28207309173251272</v>
      </c>
      <c r="DQ513" s="399">
        <v>0</v>
      </c>
      <c r="DR513" s="399">
        <v>0</v>
      </c>
      <c r="DS513" s="399"/>
      <c r="DT513" s="399"/>
      <c r="DU513" s="399"/>
      <c r="DV513" s="399">
        <v>1639.0518092639536</v>
      </c>
      <c r="DW513" s="399">
        <v>0</v>
      </c>
      <c r="DX513" s="399">
        <v>0</v>
      </c>
      <c r="DY513" s="399">
        <v>-730.62339999999995</v>
      </c>
      <c r="DZ513" s="399">
        <v>0</v>
      </c>
      <c r="EA513" s="399">
        <v>0</v>
      </c>
      <c r="EB513" s="399">
        <v>0</v>
      </c>
      <c r="EC513" s="399">
        <v>-708.10215318261203</v>
      </c>
      <c r="ED513" s="399">
        <v>0</v>
      </c>
      <c r="EE513" s="399">
        <v>0</v>
      </c>
      <c r="EF513" s="399">
        <v>0</v>
      </c>
      <c r="EG513" s="399">
        <v>0</v>
      </c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>
        <v>0</v>
      </c>
      <c r="EN513" s="399">
        <v>0</v>
      </c>
      <c r="EO513" s="399">
        <v>0</v>
      </c>
      <c r="EP513" s="399">
        <v>0</v>
      </c>
      <c r="EQ513" s="399">
        <v>0</v>
      </c>
      <c r="ER513" s="399">
        <v>0</v>
      </c>
      <c r="ES513" s="399">
        <v>0</v>
      </c>
      <c r="ET513" s="399">
        <v>0</v>
      </c>
      <c r="EU513" s="399">
        <v>0</v>
      </c>
      <c r="EV513" s="399">
        <v>218</v>
      </c>
      <c r="EW513" s="399">
        <v>0</v>
      </c>
      <c r="EX513" s="399">
        <v>0</v>
      </c>
      <c r="EY513" s="399">
        <v>0</v>
      </c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514</v>
      </c>
      <c r="B514" s="399" t="s">
        <v>2361</v>
      </c>
      <c r="C514" s="399" t="s">
        <v>2328</v>
      </c>
      <c r="D514" s="399" t="s">
        <v>2335</v>
      </c>
      <c r="E514" s="399" t="s">
        <v>894</v>
      </c>
      <c r="F514" s="399" t="s">
        <v>2342</v>
      </c>
      <c r="G514" s="399" t="s">
        <v>2340</v>
      </c>
      <c r="H514" s="399" t="s">
        <v>1239</v>
      </c>
      <c r="I514" s="399" t="s">
        <v>1239</v>
      </c>
      <c r="J514" s="399" t="s">
        <v>2329</v>
      </c>
      <c r="K514" s="789">
        <v>44713</v>
      </c>
      <c r="L514" s="399">
        <v>0</v>
      </c>
      <c r="M514" s="399">
        <v>0</v>
      </c>
      <c r="N514" s="399">
        <v>0.2</v>
      </c>
      <c r="O514" s="399">
        <v>0.2</v>
      </c>
      <c r="P514" s="399">
        <v>0.2</v>
      </c>
      <c r="Q514" s="399">
        <v>0.2</v>
      </c>
      <c r="R514" s="399"/>
      <c r="S514" s="399">
        <v>521.86</v>
      </c>
      <c r="T514" s="399">
        <v>141.32</v>
      </c>
      <c r="U514" s="399"/>
      <c r="V514" s="399">
        <v>132.63600000000002</v>
      </c>
      <c r="W514" s="399">
        <v>132.63600000000002</v>
      </c>
      <c r="X514" s="399">
        <v>103.666</v>
      </c>
      <c r="Y514" s="399">
        <v>0</v>
      </c>
      <c r="Z514" s="399">
        <v>12.135408498704781</v>
      </c>
      <c r="AA514" s="399">
        <v>0</v>
      </c>
      <c r="AB514" s="399">
        <v>0</v>
      </c>
      <c r="AC514" s="399">
        <v>0</v>
      </c>
      <c r="AD514" s="399">
        <v>21.510760444650799</v>
      </c>
      <c r="AE514" s="399">
        <v>64.990158971608011</v>
      </c>
      <c r="AF514" s="399">
        <v>28.263786006397204</v>
      </c>
      <c r="AG514" s="399">
        <v>0</v>
      </c>
      <c r="AH514" s="399">
        <v>0</v>
      </c>
      <c r="AI514" s="399">
        <v>0</v>
      </c>
      <c r="AJ514" s="399">
        <v>0</v>
      </c>
      <c r="AK514" s="399">
        <v>0</v>
      </c>
      <c r="AL514" s="399">
        <v>1.8763984697944562</v>
      </c>
      <c r="AM514" s="399"/>
      <c r="AN514" s="399">
        <v>0.27737333669515002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3.5809796021993403</v>
      </c>
      <c r="BH514" s="399">
        <v>0</v>
      </c>
      <c r="BI514" s="399">
        <v>0</v>
      </c>
      <c r="BJ514" s="399">
        <v>0</v>
      </c>
      <c r="BK514" s="399">
        <v>0</v>
      </c>
      <c r="BL514" s="399">
        <v>0</v>
      </c>
      <c r="BM514" s="399"/>
      <c r="BN514" s="399"/>
      <c r="BO514" s="399"/>
      <c r="BP514" s="399"/>
      <c r="BQ514" s="399"/>
      <c r="BR514" s="399">
        <v>12.440000000000001</v>
      </c>
      <c r="BS514" s="399"/>
      <c r="BT514" s="399"/>
      <c r="BU514" s="399"/>
      <c r="BV514" s="399">
        <v>31.844765608596546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91.225999999999999</v>
      </c>
      <c r="CJ514" s="399">
        <v>-25.52200000000002</v>
      </c>
      <c r="CK514" s="399"/>
      <c r="CL514" s="399"/>
      <c r="CM514" s="399"/>
      <c r="CN514" s="399"/>
      <c r="CO514" s="399">
        <v>-28.970000000000006</v>
      </c>
      <c r="CP514" s="399">
        <v>0</v>
      </c>
      <c r="CQ514" s="399">
        <v>30</v>
      </c>
      <c r="CR514" s="399">
        <v>-0.89114747185220722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-0.10244936656479808</v>
      </c>
      <c r="DA514" s="399">
        <v>0</v>
      </c>
      <c r="DB514" s="399">
        <v>0</v>
      </c>
      <c r="DC514" s="399">
        <v>0</v>
      </c>
      <c r="DD514" s="399">
        <v>0</v>
      </c>
      <c r="DE514" s="399">
        <v>0</v>
      </c>
      <c r="DF514" s="399">
        <v>0</v>
      </c>
      <c r="DG514" s="399">
        <v>0</v>
      </c>
      <c r="DH514" s="399">
        <v>0</v>
      </c>
      <c r="DI514" s="399">
        <v>-0.68375334664997922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-9.3760258568746035E-2</v>
      </c>
      <c r="DP514" s="399">
        <v>-1.1184500068696035E-2</v>
      </c>
      <c r="DQ514" s="399">
        <v>0</v>
      </c>
      <c r="DR514" s="399">
        <v>0</v>
      </c>
      <c r="DS514" s="399"/>
      <c r="DT514" s="399"/>
      <c r="DU514" s="399"/>
      <c r="DV514" s="399">
        <v>64.990158971608011</v>
      </c>
      <c r="DW514" s="399">
        <v>0</v>
      </c>
      <c r="DX514" s="399">
        <v>0</v>
      </c>
      <c r="DY514" s="399">
        <v>-28.970000000000013</v>
      </c>
      <c r="DZ514" s="399">
        <v>0</v>
      </c>
      <c r="EA514" s="399">
        <v>0</v>
      </c>
      <c r="EB514" s="399">
        <v>0</v>
      </c>
      <c r="EC514" s="399">
        <v>-28.077008452918811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218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515</v>
      </c>
      <c r="B515" s="399" t="s">
        <v>956</v>
      </c>
      <c r="C515" s="399" t="s">
        <v>2328</v>
      </c>
      <c r="D515" s="399" t="s">
        <v>2335</v>
      </c>
      <c r="E515" s="399" t="s">
        <v>894</v>
      </c>
      <c r="F515" s="399" t="s">
        <v>2342</v>
      </c>
      <c r="G515" s="399" t="s">
        <v>2341</v>
      </c>
      <c r="H515" s="399" t="s">
        <v>1239</v>
      </c>
      <c r="I515" s="399" t="s">
        <v>1239</v>
      </c>
      <c r="J515" s="399" t="s">
        <v>2329</v>
      </c>
      <c r="K515" s="789">
        <v>44713</v>
      </c>
      <c r="L515" s="399">
        <v>0</v>
      </c>
      <c r="M515" s="399">
        <v>0</v>
      </c>
      <c r="N515" s="399">
        <v>5.6449999999999996</v>
      </c>
      <c r="O515" s="399">
        <v>2.258</v>
      </c>
      <c r="P515" s="399">
        <v>5.6449999999999996</v>
      </c>
      <c r="Q515" s="399">
        <v>2.258</v>
      </c>
      <c r="R515" s="399"/>
      <c r="S515" s="399">
        <v>521.86</v>
      </c>
      <c r="T515" s="399">
        <v>141.32</v>
      </c>
      <c r="U515" s="399"/>
      <c r="V515" s="399">
        <v>3743.6511</v>
      </c>
      <c r="W515" s="399">
        <v>3743.6511</v>
      </c>
      <c r="X515" s="399">
        <v>2925.9728500000001</v>
      </c>
      <c r="Y515" s="399">
        <v>0</v>
      </c>
      <c r="Z515" s="399">
        <v>342.52190487594237</v>
      </c>
      <c r="AA515" s="399">
        <v>0</v>
      </c>
      <c r="AB515" s="399">
        <v>0</v>
      </c>
      <c r="AC515" s="399">
        <v>0</v>
      </c>
      <c r="AD515" s="399">
        <v>607.14121355026873</v>
      </c>
      <c r="AE515" s="399">
        <v>1834.3472369736357</v>
      </c>
      <c r="AF515" s="399">
        <v>797.74536003056096</v>
      </c>
      <c r="AG515" s="399">
        <v>0</v>
      </c>
      <c r="AH515" s="399">
        <v>0</v>
      </c>
      <c r="AI515" s="399">
        <v>0</v>
      </c>
      <c r="AJ515" s="399">
        <v>0</v>
      </c>
      <c r="AK515" s="399">
        <v>0</v>
      </c>
      <c r="AL515" s="399">
        <v>52.961346809948523</v>
      </c>
      <c r="AM515" s="399"/>
      <c r="AN515" s="399">
        <v>7.8288624282206074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101.07314927207636</v>
      </c>
      <c r="BH515" s="399">
        <v>0</v>
      </c>
      <c r="BI515" s="399">
        <v>0</v>
      </c>
      <c r="BJ515" s="399">
        <v>0</v>
      </c>
      <c r="BK515" s="399">
        <v>0</v>
      </c>
      <c r="BL515" s="399">
        <v>0</v>
      </c>
      <c r="BM515" s="399"/>
      <c r="BN515" s="399"/>
      <c r="BO515" s="399"/>
      <c r="BP515" s="399"/>
      <c r="BQ515" s="399"/>
      <c r="BR515" s="399"/>
      <c r="BS515" s="399">
        <v>1896.0313099999998</v>
      </c>
      <c r="BT515" s="399"/>
      <c r="BU515" s="399"/>
      <c r="BV515" s="399">
        <v>898.81850930263727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1030.8537999999999</v>
      </c>
      <c r="CJ515" s="399">
        <v>-286.9224200000001</v>
      </c>
      <c r="CK515" s="399"/>
      <c r="CL515" s="399"/>
      <c r="CM515" s="399"/>
      <c r="CN515" s="399"/>
      <c r="CO515" s="399">
        <v>-817.67825000000005</v>
      </c>
      <c r="CP515" s="399">
        <v>0</v>
      </c>
      <c r="CQ515" s="399">
        <v>30</v>
      </c>
      <c r="CR515" s="399">
        <v>-25.152637393028954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-2.8916333712913911</v>
      </c>
      <c r="DA515" s="399">
        <v>0</v>
      </c>
      <c r="DB515" s="399">
        <v>0</v>
      </c>
      <c r="DC515" s="399">
        <v>0</v>
      </c>
      <c r="DD515" s="399">
        <v>0</v>
      </c>
      <c r="DE515" s="399">
        <v>0</v>
      </c>
      <c r="DF515" s="399">
        <v>0</v>
      </c>
      <c r="DG515" s="399">
        <v>0</v>
      </c>
      <c r="DH515" s="399">
        <v>0</v>
      </c>
      <c r="DI515" s="399">
        <v>-19.298938209195626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-2.6463832981028617</v>
      </c>
      <c r="DP515" s="399">
        <v>-0.31568251443894457</v>
      </c>
      <c r="DQ515" s="399">
        <v>0</v>
      </c>
      <c r="DR515" s="399">
        <v>0</v>
      </c>
      <c r="DS515" s="399"/>
      <c r="DT515" s="399"/>
      <c r="DU515" s="399"/>
      <c r="DV515" s="399">
        <v>1834.3472369736357</v>
      </c>
      <c r="DW515" s="399">
        <v>0</v>
      </c>
      <c r="DX515" s="399">
        <v>0</v>
      </c>
      <c r="DY515" s="399">
        <v>-817.67824999999993</v>
      </c>
      <c r="DZ515" s="399">
        <v>0</v>
      </c>
      <c r="EA515" s="399">
        <v>0</v>
      </c>
      <c r="EB515" s="399">
        <v>0</v>
      </c>
      <c r="EC515" s="399">
        <v>-792.47356358363322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218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516</v>
      </c>
      <c r="B516" s="399" t="s">
        <v>956</v>
      </c>
      <c r="C516" s="399" t="s">
        <v>2328</v>
      </c>
      <c r="D516" s="399" t="s">
        <v>1823</v>
      </c>
      <c r="E516" s="399" t="s">
        <v>889</v>
      </c>
      <c r="F516" s="399" t="s">
        <v>889</v>
      </c>
      <c r="G516" s="399" t="s">
        <v>1239</v>
      </c>
      <c r="H516" s="399" t="s">
        <v>1239</v>
      </c>
      <c r="I516" s="399" t="s">
        <v>1239</v>
      </c>
      <c r="J516" s="399" t="s">
        <v>2329</v>
      </c>
      <c r="K516" s="789">
        <v>44743</v>
      </c>
      <c r="L516" s="399">
        <v>0</v>
      </c>
      <c r="M516" s="399">
        <v>0</v>
      </c>
      <c r="N516" s="399">
        <v>949.07600000000002</v>
      </c>
      <c r="O516" s="399">
        <v>949.07600000000002</v>
      </c>
      <c r="P516" s="399">
        <v>949.07600000000002</v>
      </c>
      <c r="Q516" s="399">
        <v>949.07600000000002</v>
      </c>
      <c r="R516" s="399"/>
      <c r="S516" s="399">
        <v>521.86</v>
      </c>
      <c r="T516" s="399">
        <v>141.32</v>
      </c>
      <c r="U516" s="399"/>
      <c r="V516" s="399">
        <v>629408.22168000008</v>
      </c>
      <c r="W516" s="399">
        <v>629408.22168000008</v>
      </c>
      <c r="X516" s="399">
        <v>491934.56307999999</v>
      </c>
      <c r="Y516" s="399">
        <v>0</v>
      </c>
      <c r="Z516" s="399">
        <v>57587.12478158369</v>
      </c>
      <c r="AA516" s="399">
        <v>0</v>
      </c>
      <c r="AB516" s="399">
        <v>0</v>
      </c>
      <c r="AC516" s="399">
        <v>0</v>
      </c>
      <c r="AD516" s="399">
        <v>102076.73239883702</v>
      </c>
      <c r="AE516" s="399">
        <v>308403.00058068917</v>
      </c>
      <c r="AF516" s="399">
        <v>134122.40483903716</v>
      </c>
      <c r="AG516" s="399">
        <v>0</v>
      </c>
      <c r="AH516" s="399">
        <v>0</v>
      </c>
      <c r="AI516" s="399">
        <v>0</v>
      </c>
      <c r="AJ516" s="399">
        <v>0</v>
      </c>
      <c r="AK516" s="399">
        <v>0</v>
      </c>
      <c r="AL516" s="399">
        <v>8904.2237705932166</v>
      </c>
      <c r="AM516" s="399"/>
      <c r="AN516" s="399">
        <v>1316.2418844864308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16993.108984684703</v>
      </c>
      <c r="BH516" s="399">
        <v>0</v>
      </c>
      <c r="BI516" s="399">
        <v>3293.39</v>
      </c>
      <c r="BJ516" s="399">
        <v>15314.96</v>
      </c>
      <c r="BK516" s="399">
        <v>82698.14</v>
      </c>
      <c r="BL516" s="399">
        <v>4872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151115.51382372185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491936.63639999996</v>
      </c>
      <c r="CJ516" s="399">
        <v>-137471.61528000014</v>
      </c>
      <c r="CK516" s="399"/>
      <c r="CL516" s="399"/>
      <c r="CM516" s="399"/>
      <c r="CN516" s="399"/>
      <c r="CO516" s="399">
        <v>-137473.65860000002</v>
      </c>
      <c r="CP516" s="399">
        <v>0</v>
      </c>
      <c r="CQ516" s="399">
        <v>31</v>
      </c>
      <c r="CR516" s="399">
        <v>-4228.8333899780991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-486.16117510927143</v>
      </c>
      <c r="DA516" s="399">
        <v>0</v>
      </c>
      <c r="DB516" s="399">
        <v>0</v>
      </c>
      <c r="DC516" s="399">
        <v>0</v>
      </c>
      <c r="DD516" s="399">
        <v>0</v>
      </c>
      <c r="DE516" s="399">
        <v>0</v>
      </c>
      <c r="DF516" s="399">
        <v>0</v>
      </c>
      <c r="DG516" s="399">
        <v>0</v>
      </c>
      <c r="DH516" s="399">
        <v>0</v>
      </c>
      <c r="DI516" s="399">
        <v>-3244.6694561258773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-444.92805580695676</v>
      </c>
      <c r="DP516" s="399">
        <v>-53.074702935988626</v>
      </c>
      <c r="DQ516" s="399">
        <v>0</v>
      </c>
      <c r="DR516" s="399">
        <v>0</v>
      </c>
      <c r="DS516" s="399"/>
      <c r="DT516" s="399"/>
      <c r="DU516" s="399"/>
      <c r="DV516" s="399">
        <v>308403.00058068917</v>
      </c>
      <c r="DW516" s="399">
        <v>0</v>
      </c>
      <c r="DX516" s="399">
        <v>0</v>
      </c>
      <c r="DY516" s="399">
        <v>-137473.65860000002</v>
      </c>
      <c r="DZ516" s="399">
        <v>0</v>
      </c>
      <c r="EA516" s="399">
        <v>0</v>
      </c>
      <c r="EB516" s="399">
        <v>0</v>
      </c>
      <c r="EC516" s="399">
        <v>-133236.07437231179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0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218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517</v>
      </c>
      <c r="B517" s="399" t="s">
        <v>2360</v>
      </c>
      <c r="C517" s="399" t="s">
        <v>2328</v>
      </c>
      <c r="D517" s="399" t="s">
        <v>1823</v>
      </c>
      <c r="E517" s="399" t="s">
        <v>889</v>
      </c>
      <c r="F517" s="399" t="s">
        <v>889</v>
      </c>
      <c r="G517" s="399" t="s">
        <v>1239</v>
      </c>
      <c r="H517" s="399" t="s">
        <v>1239</v>
      </c>
      <c r="I517" s="399" t="s">
        <v>1239</v>
      </c>
      <c r="J517" s="399" t="s">
        <v>2329</v>
      </c>
      <c r="K517" s="789">
        <v>44743</v>
      </c>
      <c r="L517" s="399">
        <v>0</v>
      </c>
      <c r="M517" s="399">
        <v>0</v>
      </c>
      <c r="N517" s="399">
        <v>-1.8740000000000001</v>
      </c>
      <c r="O517" s="399">
        <v>-1.8740000000000001</v>
      </c>
      <c r="P517" s="399">
        <v>-1.8740000000000001</v>
      </c>
      <c r="Q517" s="399">
        <v>-1.8740000000000001</v>
      </c>
      <c r="R517" s="399"/>
      <c r="S517" s="399">
        <v>521.86</v>
      </c>
      <c r="T517" s="399">
        <v>141.32</v>
      </c>
      <c r="U517" s="399"/>
      <c r="V517" s="399">
        <v>-1242.7993200000001</v>
      </c>
      <c r="W517" s="399">
        <v>-1242.7993200000001</v>
      </c>
      <c r="X517" s="399">
        <v>-971.35041999999999</v>
      </c>
      <c r="Y517" s="399">
        <v>0</v>
      </c>
      <c r="Z517" s="399">
        <v>-113.7087776328638</v>
      </c>
      <c r="AA517" s="399">
        <v>0</v>
      </c>
      <c r="AB517" s="399">
        <v>0</v>
      </c>
      <c r="AC517" s="399">
        <v>0</v>
      </c>
      <c r="AD517" s="399">
        <v>-201.555825366378</v>
      </c>
      <c r="AE517" s="399">
        <v>-608.95778956396703</v>
      </c>
      <c r="AF517" s="399">
        <v>-264.83167487994183</v>
      </c>
      <c r="AG517" s="399">
        <v>0</v>
      </c>
      <c r="AH517" s="399">
        <v>0</v>
      </c>
      <c r="AI517" s="399">
        <v>0</v>
      </c>
      <c r="AJ517" s="399">
        <v>0</v>
      </c>
      <c r="AK517" s="399">
        <v>0</v>
      </c>
      <c r="AL517" s="399">
        <v>-17.581853661974055</v>
      </c>
      <c r="AM517" s="399"/>
      <c r="AN517" s="399">
        <v>-2.5989881648335555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-33.553778872607815</v>
      </c>
      <c r="BH517" s="399">
        <v>0</v>
      </c>
      <c r="BI517" s="399">
        <v>-6.62</v>
      </c>
      <c r="BJ517" s="399">
        <v>-30.63</v>
      </c>
      <c r="BK517" s="399">
        <v>-269.89</v>
      </c>
      <c r="BL517" s="399">
        <v>0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-298.38545375254967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-969.27710000000002</v>
      </c>
      <c r="CJ517" s="399">
        <v>273.49222000000009</v>
      </c>
      <c r="CK517" s="399"/>
      <c r="CL517" s="399"/>
      <c r="CM517" s="399"/>
      <c r="CN517" s="399"/>
      <c r="CO517" s="399">
        <v>271.44890000000004</v>
      </c>
      <c r="CP517" s="399">
        <v>0</v>
      </c>
      <c r="CQ517" s="399">
        <v>31</v>
      </c>
      <c r="CR517" s="399">
        <v>8.3500518112552982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0.95995056471215889</v>
      </c>
      <c r="DA517" s="399">
        <v>0</v>
      </c>
      <c r="DB517" s="399">
        <v>0</v>
      </c>
      <c r="DC517" s="399">
        <v>0</v>
      </c>
      <c r="DD517" s="399">
        <v>0</v>
      </c>
      <c r="DE517" s="399">
        <v>0</v>
      </c>
      <c r="DF517" s="399">
        <v>0</v>
      </c>
      <c r="DG517" s="399">
        <v>0</v>
      </c>
      <c r="DH517" s="399">
        <v>0</v>
      </c>
      <c r="DI517" s="399">
        <v>6.4067688581103113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0.8785336227891527</v>
      </c>
      <c r="DP517" s="399">
        <v>0.10479876564368151</v>
      </c>
      <c r="DQ517" s="399">
        <v>0</v>
      </c>
      <c r="DR517" s="399">
        <v>0</v>
      </c>
      <c r="DS517" s="399"/>
      <c r="DT517" s="399"/>
      <c r="DU517" s="399"/>
      <c r="DV517" s="399">
        <v>-608.95778956396703</v>
      </c>
      <c r="DW517" s="399">
        <v>0</v>
      </c>
      <c r="DX517" s="399">
        <v>0</v>
      </c>
      <c r="DY517" s="399">
        <v>271.44890000000009</v>
      </c>
      <c r="DZ517" s="399">
        <v>0</v>
      </c>
      <c r="EA517" s="399">
        <v>0</v>
      </c>
      <c r="EB517" s="399">
        <v>0</v>
      </c>
      <c r="EC517" s="399">
        <v>263.0815692038492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218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518</v>
      </c>
      <c r="B518" s="399" t="s">
        <v>2361</v>
      </c>
      <c r="C518" s="399" t="s">
        <v>2328</v>
      </c>
      <c r="D518" s="399" t="s">
        <v>1823</v>
      </c>
      <c r="E518" s="399" t="s">
        <v>889</v>
      </c>
      <c r="F518" s="399" t="s">
        <v>889</v>
      </c>
      <c r="G518" s="399" t="s">
        <v>1239</v>
      </c>
      <c r="H518" s="399" t="s">
        <v>1239</v>
      </c>
      <c r="I518" s="399" t="s">
        <v>1239</v>
      </c>
      <c r="J518" s="399" t="s">
        <v>2329</v>
      </c>
      <c r="K518" s="789">
        <v>44743</v>
      </c>
      <c r="L518" s="399">
        <v>0</v>
      </c>
      <c r="M518" s="399">
        <v>0</v>
      </c>
      <c r="N518" s="399">
        <v>16.646000000000001</v>
      </c>
      <c r="O518" s="399">
        <v>16.646000000000001</v>
      </c>
      <c r="P518" s="399">
        <v>16.646000000000001</v>
      </c>
      <c r="Q518" s="399">
        <v>16.646000000000001</v>
      </c>
      <c r="R518" s="399"/>
      <c r="S518" s="399">
        <v>521.86</v>
      </c>
      <c r="T518" s="399">
        <v>141.32</v>
      </c>
      <c r="U518" s="399"/>
      <c r="V518" s="399">
        <v>11039.29428</v>
      </c>
      <c r="W518" s="399">
        <v>11039.29428</v>
      </c>
      <c r="X518" s="399">
        <v>8628.1211800000001</v>
      </c>
      <c r="Y518" s="399">
        <v>0</v>
      </c>
      <c r="Z518" s="399">
        <v>1010.0300493471989</v>
      </c>
      <c r="AA518" s="399">
        <v>0</v>
      </c>
      <c r="AB518" s="399">
        <v>0</v>
      </c>
      <c r="AC518" s="399">
        <v>0</v>
      </c>
      <c r="AD518" s="399">
        <v>1790.340591808286</v>
      </c>
      <c r="AE518" s="399">
        <v>5409.1309312069343</v>
      </c>
      <c r="AF518" s="399">
        <v>2352.3949093124393</v>
      </c>
      <c r="AG518" s="399">
        <v>0</v>
      </c>
      <c r="AH518" s="399">
        <v>0</v>
      </c>
      <c r="AI518" s="399">
        <v>0</v>
      </c>
      <c r="AJ518" s="399">
        <v>0</v>
      </c>
      <c r="AK518" s="399">
        <v>0</v>
      </c>
      <c r="AL518" s="399">
        <v>156.17264464099259</v>
      </c>
      <c r="AM518" s="399"/>
      <c r="AN518" s="399">
        <v>23.085782813137335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298.04493229105105</v>
      </c>
      <c r="BH518" s="399">
        <v>0</v>
      </c>
      <c r="BI518" s="399">
        <v>57.42</v>
      </c>
      <c r="BJ518" s="399">
        <v>268.70999999999998</v>
      </c>
      <c r="BK518" s="399">
        <v>4168.66</v>
      </c>
      <c r="BL518" s="399">
        <v>138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2650.4398416034901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8630.1944999999996</v>
      </c>
      <c r="CJ518" s="399">
        <v>-2409.1297800000011</v>
      </c>
      <c r="CK518" s="399"/>
      <c r="CL518" s="399"/>
      <c r="CM518" s="399"/>
      <c r="CN518" s="399"/>
      <c r="CO518" s="399">
        <v>-2411.1731000000004</v>
      </c>
      <c r="CP518" s="399">
        <v>0</v>
      </c>
      <c r="CQ518" s="399">
        <v>31</v>
      </c>
      <c r="CR518" s="399">
        <v>-74.17020408226017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-8.526860779188155</v>
      </c>
      <c r="DA518" s="399">
        <v>0</v>
      </c>
      <c r="DB518" s="399">
        <v>0</v>
      </c>
      <c r="DC518" s="399">
        <v>0</v>
      </c>
      <c r="DD518" s="399">
        <v>0</v>
      </c>
      <c r="DE518" s="399">
        <v>0</v>
      </c>
      <c r="DF518" s="399">
        <v>0</v>
      </c>
      <c r="DG518" s="399">
        <v>0</v>
      </c>
      <c r="DH518" s="399">
        <v>0</v>
      </c>
      <c r="DI518" s="399">
        <v>-56.908791041677773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-7.80366632067674</v>
      </c>
      <c r="DP518" s="399">
        <v>-0.93088594071756958</v>
      </c>
      <c r="DQ518" s="399">
        <v>0</v>
      </c>
      <c r="DR518" s="399">
        <v>0</v>
      </c>
      <c r="DS518" s="399"/>
      <c r="DT518" s="399"/>
      <c r="DU518" s="399"/>
      <c r="DV518" s="399">
        <v>5409.1309312069343</v>
      </c>
      <c r="DW518" s="399">
        <v>0</v>
      </c>
      <c r="DX518" s="399">
        <v>0</v>
      </c>
      <c r="DY518" s="399">
        <v>-2411.1731</v>
      </c>
      <c r="DZ518" s="399">
        <v>0</v>
      </c>
      <c r="EA518" s="399">
        <v>0</v>
      </c>
      <c r="EB518" s="399">
        <v>0</v>
      </c>
      <c r="EC518" s="399">
        <v>-2336.8494135364317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218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519</v>
      </c>
      <c r="B519" s="399" t="s">
        <v>956</v>
      </c>
      <c r="C519" s="399" t="s">
        <v>2328</v>
      </c>
      <c r="D519" s="399" t="s">
        <v>1823</v>
      </c>
      <c r="E519" s="399" t="s">
        <v>889</v>
      </c>
      <c r="F519" s="399" t="s">
        <v>2330</v>
      </c>
      <c r="G519" s="399" t="s">
        <v>1239</v>
      </c>
      <c r="H519" s="399" t="s">
        <v>1239</v>
      </c>
      <c r="I519" s="399" t="s">
        <v>1239</v>
      </c>
      <c r="J519" s="399" t="s">
        <v>2329</v>
      </c>
      <c r="K519" s="789">
        <v>44743</v>
      </c>
      <c r="L519" s="399">
        <v>0</v>
      </c>
      <c r="M519" s="399">
        <v>0</v>
      </c>
      <c r="N519" s="399">
        <v>3.87</v>
      </c>
      <c r="O519" s="399">
        <v>3.87</v>
      </c>
      <c r="P519" s="399">
        <v>3.87</v>
      </c>
      <c r="Q519" s="399">
        <v>3.87</v>
      </c>
      <c r="R519" s="399"/>
      <c r="S519" s="399">
        <v>451.8</v>
      </c>
      <c r="T519" s="399">
        <v>141.32</v>
      </c>
      <c r="U519" s="399"/>
      <c r="V519" s="399">
        <v>2295.3744000000002</v>
      </c>
      <c r="W519" s="399">
        <v>2295.3744000000002</v>
      </c>
      <c r="X519" s="399">
        <v>1749.8591999999999</v>
      </c>
      <c r="Y519" s="399">
        <v>0</v>
      </c>
      <c r="Z519" s="399">
        <v>0</v>
      </c>
      <c r="AA519" s="399">
        <v>0</v>
      </c>
      <c r="AB519" s="399">
        <v>0</v>
      </c>
      <c r="AC519" s="399">
        <v>0</v>
      </c>
      <c r="AD519" s="399">
        <v>416.23321460399296</v>
      </c>
      <c r="AE519" s="399">
        <v>1257.5595761006148</v>
      </c>
      <c r="AF519" s="399">
        <v>546.90425922378586</v>
      </c>
      <c r="AG519" s="399">
        <v>0</v>
      </c>
      <c r="AH519" s="399">
        <v>0</v>
      </c>
      <c r="AI519" s="399">
        <v>0</v>
      </c>
      <c r="AJ519" s="399">
        <v>0</v>
      </c>
      <c r="AK519" s="399">
        <v>0</v>
      </c>
      <c r="AL519" s="399">
        <v>0</v>
      </c>
      <c r="AM519" s="399"/>
      <c r="AN519" s="399">
        <v>5.3671740650511524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69.291955302557227</v>
      </c>
      <c r="BH519" s="399">
        <v>0</v>
      </c>
      <c r="BI519" s="399">
        <v>12.9</v>
      </c>
      <c r="BJ519" s="399">
        <v>61.94</v>
      </c>
      <c r="BK519" s="399">
        <v>92.9</v>
      </c>
      <c r="BL519" s="399">
        <v>4</v>
      </c>
      <c r="BM519" s="399"/>
      <c r="BN519" s="399"/>
      <c r="BO519" s="399"/>
      <c r="BP519" s="399"/>
      <c r="BQ519" s="399"/>
      <c r="BR519" s="399"/>
      <c r="BS519" s="399"/>
      <c r="BT519" s="399">
        <v>1137.3929999999998</v>
      </c>
      <c r="BU519" s="399"/>
      <c r="BV519" s="399">
        <v>616.19621452634306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612.46619999999996</v>
      </c>
      <c r="CJ519" s="399">
        <v>-190.9371000000001</v>
      </c>
      <c r="CK519" s="399"/>
      <c r="CL519" s="399"/>
      <c r="CM519" s="399"/>
      <c r="CN519" s="399"/>
      <c r="CO519" s="399">
        <v>-545.51520000000016</v>
      </c>
      <c r="CP519" s="399">
        <v>0</v>
      </c>
      <c r="CQ519" s="399">
        <v>31</v>
      </c>
      <c r="CR519" s="399">
        <v>-2.1988153193581184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-1.9823952430288045</v>
      </c>
      <c r="DA519" s="399">
        <v>0</v>
      </c>
      <c r="DB519" s="399">
        <v>0</v>
      </c>
      <c r="DC519" s="399">
        <v>0</v>
      </c>
      <c r="DD519" s="399">
        <v>0</v>
      </c>
      <c r="DE519" s="399">
        <v>0</v>
      </c>
      <c r="DF519" s="399">
        <v>0</v>
      </c>
      <c r="DG519" s="399">
        <v>0</v>
      </c>
      <c r="DH519" s="399">
        <v>0</v>
      </c>
      <c r="DI519" s="399">
        <v>0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0</v>
      </c>
      <c r="DP519" s="399">
        <v>-0.21642007632926763</v>
      </c>
      <c r="DQ519" s="399">
        <v>0</v>
      </c>
      <c r="DR519" s="399">
        <v>0</v>
      </c>
      <c r="DS519" s="399"/>
      <c r="DT519" s="399"/>
      <c r="DU519" s="399"/>
      <c r="DV519" s="399">
        <v>1257.5595761006148</v>
      </c>
      <c r="DW519" s="399">
        <v>0</v>
      </c>
      <c r="DX519" s="399">
        <v>0</v>
      </c>
      <c r="DY519" s="399">
        <v>-545.51520000000028</v>
      </c>
      <c r="DZ519" s="399">
        <v>0</v>
      </c>
      <c r="EA519" s="399">
        <v>0</v>
      </c>
      <c r="EB519" s="399">
        <v>0</v>
      </c>
      <c r="EC519" s="399">
        <v>-543.29011356397871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0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218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520</v>
      </c>
      <c r="B520" s="399" t="s">
        <v>2361</v>
      </c>
      <c r="C520" s="399" t="s">
        <v>2328</v>
      </c>
      <c r="D520" s="399" t="s">
        <v>1823</v>
      </c>
      <c r="E520" s="399" t="s">
        <v>889</v>
      </c>
      <c r="F520" s="399" t="s">
        <v>2330</v>
      </c>
      <c r="G520" s="399" t="s">
        <v>1239</v>
      </c>
      <c r="H520" s="399" t="s">
        <v>1239</v>
      </c>
      <c r="I520" s="399" t="s">
        <v>1239</v>
      </c>
      <c r="J520" s="399" t="s">
        <v>2329</v>
      </c>
      <c r="K520" s="789">
        <v>44743</v>
      </c>
      <c r="L520" s="399">
        <v>0</v>
      </c>
      <c r="M520" s="399">
        <v>0</v>
      </c>
      <c r="N520" s="399">
        <v>0.03</v>
      </c>
      <c r="O520" s="399">
        <v>0.03</v>
      </c>
      <c r="P520" s="399">
        <v>0.03</v>
      </c>
      <c r="Q520" s="399">
        <v>0.03</v>
      </c>
      <c r="R520" s="399"/>
      <c r="S520" s="399">
        <v>451.8</v>
      </c>
      <c r="T520" s="399">
        <v>141.32</v>
      </c>
      <c r="U520" s="399"/>
      <c r="V520" s="399">
        <v>17.793599999999998</v>
      </c>
      <c r="W520" s="399">
        <v>17.793599999999998</v>
      </c>
      <c r="X520" s="399">
        <v>13.564799999999998</v>
      </c>
      <c r="Y520" s="399">
        <v>0</v>
      </c>
      <c r="Z520" s="399">
        <v>0</v>
      </c>
      <c r="AA520" s="399">
        <v>0</v>
      </c>
      <c r="AB520" s="399">
        <v>0</v>
      </c>
      <c r="AC520" s="399">
        <v>0</v>
      </c>
      <c r="AD520" s="399">
        <v>3.22661406669762</v>
      </c>
      <c r="AE520" s="399">
        <v>9.7485238457412002</v>
      </c>
      <c r="AF520" s="399">
        <v>4.2395679009595799</v>
      </c>
      <c r="AG520" s="399">
        <v>0</v>
      </c>
      <c r="AH520" s="399">
        <v>0</v>
      </c>
      <c r="AI520" s="399">
        <v>0</v>
      </c>
      <c r="AJ520" s="399">
        <v>0</v>
      </c>
      <c r="AK520" s="399">
        <v>0</v>
      </c>
      <c r="AL520" s="399">
        <v>0</v>
      </c>
      <c r="AM520" s="399"/>
      <c r="AN520" s="399">
        <v>4.1606000504272496E-2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0.53714694032990096</v>
      </c>
      <c r="BH520" s="399">
        <v>0</v>
      </c>
      <c r="BI520" s="399">
        <v>0.1</v>
      </c>
      <c r="BJ520" s="399">
        <v>0.48</v>
      </c>
      <c r="BK520" s="399">
        <v>5.17</v>
      </c>
      <c r="BL520" s="399">
        <v>1</v>
      </c>
      <c r="BM520" s="399"/>
      <c r="BN520" s="399"/>
      <c r="BO520" s="399"/>
      <c r="BP520" s="399"/>
      <c r="BQ520" s="399"/>
      <c r="BR520" s="399"/>
      <c r="BS520" s="399"/>
      <c r="BT520" s="399">
        <v>8.8169999999999984</v>
      </c>
      <c r="BU520" s="399"/>
      <c r="BV520" s="399">
        <v>4.7767148412894809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4.7477999999999998</v>
      </c>
      <c r="CJ520" s="399">
        <v>-1.5099</v>
      </c>
      <c r="CK520" s="399"/>
      <c r="CL520" s="399"/>
      <c r="CM520" s="399"/>
      <c r="CN520" s="399"/>
      <c r="CO520" s="399">
        <v>-4.2288000000000006</v>
      </c>
      <c r="CP520" s="399">
        <v>0</v>
      </c>
      <c r="CQ520" s="399">
        <v>31</v>
      </c>
      <c r="CR520" s="399">
        <v>-1.7045079995023471E-2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-1.536740498471989E-2</v>
      </c>
      <c r="DA520" s="399">
        <v>0</v>
      </c>
      <c r="DB520" s="399">
        <v>0</v>
      </c>
      <c r="DC520" s="399">
        <v>0</v>
      </c>
      <c r="DD520" s="399">
        <v>0</v>
      </c>
      <c r="DE520" s="399">
        <v>0</v>
      </c>
      <c r="DF520" s="399">
        <v>0</v>
      </c>
      <c r="DG520" s="399">
        <v>0</v>
      </c>
      <c r="DH520" s="399">
        <v>0</v>
      </c>
      <c r="DI520" s="399">
        <v>0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0</v>
      </c>
      <c r="DP520" s="399">
        <v>-1.6776750103043997E-3</v>
      </c>
      <c r="DQ520" s="399">
        <v>0</v>
      </c>
      <c r="DR520" s="399">
        <v>0</v>
      </c>
      <c r="DS520" s="399"/>
      <c r="DT520" s="399"/>
      <c r="DU520" s="399"/>
      <c r="DV520" s="399">
        <v>9.7485238457412002</v>
      </c>
      <c r="DW520" s="399">
        <v>0</v>
      </c>
      <c r="DX520" s="399">
        <v>0</v>
      </c>
      <c r="DY520" s="399">
        <v>-4.2288000000000014</v>
      </c>
      <c r="DZ520" s="399">
        <v>0</v>
      </c>
      <c r="EA520" s="399">
        <v>0</v>
      </c>
      <c r="EB520" s="399">
        <v>0</v>
      </c>
      <c r="EC520" s="399">
        <v>-4.2115512679378204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218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521</v>
      </c>
      <c r="B521" s="399" t="s">
        <v>956</v>
      </c>
      <c r="C521" s="399" t="s">
        <v>2328</v>
      </c>
      <c r="D521" s="399" t="s">
        <v>1823</v>
      </c>
      <c r="E521" s="399" t="s">
        <v>889</v>
      </c>
      <c r="F521" s="399" t="s">
        <v>2331</v>
      </c>
      <c r="G521" s="399" t="s">
        <v>1239</v>
      </c>
      <c r="H521" s="399" t="s">
        <v>1239</v>
      </c>
      <c r="I521" s="399" t="s">
        <v>1239</v>
      </c>
      <c r="J521" s="399" t="s">
        <v>2329</v>
      </c>
      <c r="K521" s="789">
        <v>44743</v>
      </c>
      <c r="L521" s="399">
        <v>0</v>
      </c>
      <c r="M521" s="399">
        <v>0</v>
      </c>
      <c r="N521" s="399">
        <v>7.3650000000000002</v>
      </c>
      <c r="O521" s="399">
        <v>7.3650000000000002</v>
      </c>
      <c r="P521" s="399">
        <v>7.3650000000000002</v>
      </c>
      <c r="Q521" s="399">
        <v>7.3650000000000002</v>
      </c>
      <c r="R521" s="399"/>
      <c r="S521" s="399">
        <v>451.8</v>
      </c>
      <c r="T521" s="399">
        <v>141.32</v>
      </c>
      <c r="U521" s="399"/>
      <c r="V521" s="399">
        <v>4368.3288000000002</v>
      </c>
      <c r="W521" s="399">
        <v>4368.3288000000002</v>
      </c>
      <c r="X521" s="399">
        <v>3330.1584000000003</v>
      </c>
      <c r="Y521" s="399">
        <v>0</v>
      </c>
      <c r="Z521" s="399">
        <v>0</v>
      </c>
      <c r="AA521" s="399">
        <v>0</v>
      </c>
      <c r="AB521" s="399">
        <v>0</v>
      </c>
      <c r="AC521" s="399">
        <v>0</v>
      </c>
      <c r="AD521" s="399">
        <v>792.13375337426567</v>
      </c>
      <c r="AE521" s="399">
        <v>2393.2626041294648</v>
      </c>
      <c r="AF521" s="399">
        <v>1040.813919685577</v>
      </c>
      <c r="AG521" s="399">
        <v>0</v>
      </c>
      <c r="AH521" s="399">
        <v>0</v>
      </c>
      <c r="AI521" s="399">
        <v>0</v>
      </c>
      <c r="AJ521" s="399">
        <v>0</v>
      </c>
      <c r="AK521" s="399">
        <v>0</v>
      </c>
      <c r="AL521" s="399">
        <v>0</v>
      </c>
      <c r="AM521" s="399"/>
      <c r="AN521" s="399">
        <v>10.214273123798899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131.86957385099069</v>
      </c>
      <c r="BH521" s="399">
        <v>0</v>
      </c>
      <c r="BI521" s="399">
        <v>25.57</v>
      </c>
      <c r="BJ521" s="399">
        <v>119.65</v>
      </c>
      <c r="BK521" s="399">
        <v>292.39</v>
      </c>
      <c r="BL521" s="399">
        <v>35</v>
      </c>
      <c r="BM521" s="399"/>
      <c r="BN521" s="399"/>
      <c r="BO521" s="399"/>
      <c r="BP521" s="399"/>
      <c r="BQ521" s="399"/>
      <c r="BR521" s="399"/>
      <c r="BS521" s="399"/>
      <c r="BT521" s="399">
        <v>1332.0338999999999</v>
      </c>
      <c r="BU521" s="399"/>
      <c r="BV521" s="399">
        <v>1172.6834935365678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1999.4810000000002</v>
      </c>
      <c r="CJ521" s="399">
        <v>-621.53155000000015</v>
      </c>
      <c r="CK521" s="399"/>
      <c r="CL521" s="399"/>
      <c r="CM521" s="399"/>
      <c r="CN521" s="399"/>
      <c r="CO521" s="399">
        <v>-1038.1704000000002</v>
      </c>
      <c r="CP521" s="399">
        <v>0</v>
      </c>
      <c r="CQ521" s="399">
        <v>31</v>
      </c>
      <c r="CR521" s="399">
        <v>-4.1845671387784478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-3.7726979237486375</v>
      </c>
      <c r="DA521" s="399">
        <v>0</v>
      </c>
      <c r="DB521" s="399">
        <v>0</v>
      </c>
      <c r="DC521" s="399">
        <v>0</v>
      </c>
      <c r="DD521" s="399">
        <v>0</v>
      </c>
      <c r="DE521" s="399">
        <v>0</v>
      </c>
      <c r="DF521" s="399">
        <v>0</v>
      </c>
      <c r="DG521" s="399">
        <v>0</v>
      </c>
      <c r="DH521" s="399">
        <v>0</v>
      </c>
      <c r="DI521" s="399">
        <v>0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0</v>
      </c>
      <c r="DP521" s="399">
        <v>-0.41186921502973028</v>
      </c>
      <c r="DQ521" s="399">
        <v>0</v>
      </c>
      <c r="DR521" s="399">
        <v>0</v>
      </c>
      <c r="DS521" s="399"/>
      <c r="DT521" s="399"/>
      <c r="DU521" s="399"/>
      <c r="DV521" s="399">
        <v>2393.2626041294648</v>
      </c>
      <c r="DW521" s="399">
        <v>0</v>
      </c>
      <c r="DX521" s="399">
        <v>0</v>
      </c>
      <c r="DY521" s="399">
        <v>-1038.1704</v>
      </c>
      <c r="DZ521" s="399">
        <v>0</v>
      </c>
      <c r="EA521" s="399">
        <v>0</v>
      </c>
      <c r="EB521" s="399">
        <v>0</v>
      </c>
      <c r="EC521" s="399">
        <v>-1033.935836278735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218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522</v>
      </c>
      <c r="B522" s="399" t="s">
        <v>956</v>
      </c>
      <c r="C522" s="399" t="s">
        <v>2328</v>
      </c>
      <c r="D522" s="399" t="s">
        <v>1823</v>
      </c>
      <c r="E522" s="399" t="s">
        <v>889</v>
      </c>
      <c r="F522" s="399" t="s">
        <v>2332</v>
      </c>
      <c r="G522" s="399" t="s">
        <v>1239</v>
      </c>
      <c r="H522" s="399" t="s">
        <v>1239</v>
      </c>
      <c r="I522" s="399" t="s">
        <v>1239</v>
      </c>
      <c r="J522" s="399" t="s">
        <v>2329</v>
      </c>
      <c r="K522" s="789">
        <v>44743</v>
      </c>
      <c r="L522" s="399">
        <v>0</v>
      </c>
      <c r="M522" s="399">
        <v>0</v>
      </c>
      <c r="N522" s="399">
        <v>7.6959999999999997</v>
      </c>
      <c r="O522" s="399">
        <v>7.6959999999999997</v>
      </c>
      <c r="P522" s="399">
        <v>7.6959999999999997</v>
      </c>
      <c r="Q522" s="399">
        <v>7.6959999999999997</v>
      </c>
      <c r="R522" s="399"/>
      <c r="S522" s="399">
        <v>451.8</v>
      </c>
      <c r="T522" s="399">
        <v>141.32</v>
      </c>
      <c r="U522" s="399"/>
      <c r="V522" s="399">
        <v>4564.6515199999994</v>
      </c>
      <c r="W522" s="399">
        <v>4564.6515199999994</v>
      </c>
      <c r="X522" s="399">
        <v>3479.8233599999999</v>
      </c>
      <c r="Y522" s="399">
        <v>0</v>
      </c>
      <c r="Z522" s="399">
        <v>0</v>
      </c>
      <c r="AA522" s="399">
        <v>0</v>
      </c>
      <c r="AB522" s="399">
        <v>0</v>
      </c>
      <c r="AC522" s="399">
        <v>0</v>
      </c>
      <c r="AD522" s="399">
        <v>827.73406191016272</v>
      </c>
      <c r="AE522" s="399">
        <v>2500.8213172274759</v>
      </c>
      <c r="AF522" s="399">
        <v>1087.5904855261642</v>
      </c>
      <c r="AG522" s="399">
        <v>0</v>
      </c>
      <c r="AH522" s="399">
        <v>0</v>
      </c>
      <c r="AI522" s="399">
        <v>0</v>
      </c>
      <c r="AJ522" s="399">
        <v>0</v>
      </c>
      <c r="AK522" s="399">
        <v>0</v>
      </c>
      <c r="AL522" s="399">
        <v>0</v>
      </c>
      <c r="AM522" s="399"/>
      <c r="AN522" s="399">
        <v>10.673325996029371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137.79609509263059</v>
      </c>
      <c r="BH522" s="399">
        <v>0</v>
      </c>
      <c r="BI522" s="399">
        <v>26.66</v>
      </c>
      <c r="BJ522" s="399">
        <v>124.04</v>
      </c>
      <c r="BK522" s="399">
        <v>554.70000000000005</v>
      </c>
      <c r="BL522" s="399">
        <v>51</v>
      </c>
      <c r="BM522" s="399"/>
      <c r="BN522" s="399"/>
      <c r="BO522" s="399"/>
      <c r="BP522" s="399"/>
      <c r="BQ522" s="399"/>
      <c r="BR522" s="399"/>
      <c r="BS522" s="399"/>
      <c r="BT522" s="399">
        <v>347.93615999999986</v>
      </c>
      <c r="BU522" s="399"/>
      <c r="BV522" s="399">
        <v>1225.3865806187948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3133.5150000000003</v>
      </c>
      <c r="CJ522" s="399">
        <v>-974.71676000000025</v>
      </c>
      <c r="CK522" s="399"/>
      <c r="CL522" s="399"/>
      <c r="CM522" s="399"/>
      <c r="CN522" s="399"/>
      <c r="CO522" s="399">
        <v>-1084.8281600000003</v>
      </c>
      <c r="CP522" s="399">
        <v>0</v>
      </c>
      <c r="CQ522" s="399">
        <v>31</v>
      </c>
      <c r="CR522" s="399">
        <v>-4.3726311880568574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-3.9422516254134052</v>
      </c>
      <c r="DA522" s="399">
        <v>0</v>
      </c>
      <c r="DB522" s="399">
        <v>0</v>
      </c>
      <c r="DC522" s="399">
        <v>0</v>
      </c>
      <c r="DD522" s="399">
        <v>0</v>
      </c>
      <c r="DE522" s="399">
        <v>0</v>
      </c>
      <c r="DF522" s="399">
        <v>0</v>
      </c>
      <c r="DG522" s="399">
        <v>0</v>
      </c>
      <c r="DH522" s="399">
        <v>0</v>
      </c>
      <c r="DI522" s="399">
        <v>0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0</v>
      </c>
      <c r="DP522" s="399">
        <v>-0.43037956264342192</v>
      </c>
      <c r="DQ522" s="399">
        <v>0</v>
      </c>
      <c r="DR522" s="399">
        <v>0</v>
      </c>
      <c r="DS522" s="399"/>
      <c r="DT522" s="399"/>
      <c r="DU522" s="399"/>
      <c r="DV522" s="399">
        <v>2500.8213172274759</v>
      </c>
      <c r="DW522" s="399">
        <v>0</v>
      </c>
      <c r="DX522" s="399">
        <v>0</v>
      </c>
      <c r="DY522" s="399">
        <v>-1084.82816</v>
      </c>
      <c r="DZ522" s="399">
        <v>0</v>
      </c>
      <c r="EA522" s="399">
        <v>0</v>
      </c>
      <c r="EB522" s="399">
        <v>0</v>
      </c>
      <c r="EC522" s="399">
        <v>-1080.4032852683156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0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218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523</v>
      </c>
      <c r="B523" s="399" t="s">
        <v>956</v>
      </c>
      <c r="C523" s="399" t="s">
        <v>2328</v>
      </c>
      <c r="D523" s="399" t="s">
        <v>1823</v>
      </c>
      <c r="E523" s="399" t="s">
        <v>889</v>
      </c>
      <c r="F523" s="399" t="s">
        <v>2333</v>
      </c>
      <c r="G523" s="399" t="s">
        <v>1239</v>
      </c>
      <c r="H523" s="399" t="s">
        <v>1239</v>
      </c>
      <c r="I523" s="399" t="s">
        <v>1239</v>
      </c>
      <c r="J523" s="399" t="s">
        <v>2329</v>
      </c>
      <c r="K523" s="789">
        <v>44743</v>
      </c>
      <c r="L523" s="399">
        <v>0</v>
      </c>
      <c r="M523" s="399">
        <v>0</v>
      </c>
      <c r="N523" s="399">
        <v>2.3279999999999998</v>
      </c>
      <c r="O523" s="399">
        <v>2.3279999999999998</v>
      </c>
      <c r="P523" s="399">
        <v>2.3279999999999998</v>
      </c>
      <c r="Q523" s="399">
        <v>2.3279999999999998</v>
      </c>
      <c r="R523" s="399"/>
      <c r="S523" s="399">
        <v>451.8</v>
      </c>
      <c r="T523" s="399">
        <v>141.32</v>
      </c>
      <c r="U523" s="399"/>
      <c r="V523" s="399">
        <v>1380.7833599999999</v>
      </c>
      <c r="W523" s="399">
        <v>1380.7833599999999</v>
      </c>
      <c r="X523" s="399">
        <v>1052.6284799999999</v>
      </c>
      <c r="Y523" s="399">
        <v>0</v>
      </c>
      <c r="Z523" s="399">
        <v>0</v>
      </c>
      <c r="AA523" s="399">
        <v>0</v>
      </c>
      <c r="AB523" s="399">
        <v>0</v>
      </c>
      <c r="AC523" s="399">
        <v>0</v>
      </c>
      <c r="AD523" s="399">
        <v>250.38525157573528</v>
      </c>
      <c r="AE523" s="399">
        <v>756.48545042951707</v>
      </c>
      <c r="AF523" s="399">
        <v>328.99046911446339</v>
      </c>
      <c r="AG523" s="399">
        <v>0</v>
      </c>
      <c r="AH523" s="399">
        <v>0</v>
      </c>
      <c r="AI523" s="399">
        <v>0</v>
      </c>
      <c r="AJ523" s="399">
        <v>0</v>
      </c>
      <c r="AK523" s="399">
        <v>0</v>
      </c>
      <c r="AL523" s="399">
        <v>0</v>
      </c>
      <c r="AM523" s="399"/>
      <c r="AN523" s="399">
        <v>3.2286256391315455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41.682602569600313</v>
      </c>
      <c r="BH523" s="399">
        <v>0</v>
      </c>
      <c r="BI523" s="399">
        <v>8.5</v>
      </c>
      <c r="BJ523" s="399">
        <v>37.32</v>
      </c>
      <c r="BK523" s="399">
        <v>224.83</v>
      </c>
      <c r="BL523" s="399">
        <v>37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370.6730716840637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1053.5328</v>
      </c>
      <c r="CJ523" s="399">
        <v>-327.28055999999992</v>
      </c>
      <c r="CK523" s="399"/>
      <c r="CL523" s="399"/>
      <c r="CM523" s="399"/>
      <c r="CN523" s="399"/>
      <c r="CO523" s="399">
        <v>-328.15488000000005</v>
      </c>
      <c r="CP523" s="399">
        <v>0</v>
      </c>
      <c r="CQ523" s="399">
        <v>31</v>
      </c>
      <c r="CR523" s="399">
        <v>-1.3226982076139393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-1.1925106268142542</v>
      </c>
      <c r="DA523" s="399">
        <v>0</v>
      </c>
      <c r="DB523" s="399">
        <v>0</v>
      </c>
      <c r="DC523" s="399">
        <v>0</v>
      </c>
      <c r="DD523" s="399">
        <v>0</v>
      </c>
      <c r="DE523" s="399">
        <v>0</v>
      </c>
      <c r="DF523" s="399">
        <v>0</v>
      </c>
      <c r="DG523" s="399">
        <v>0</v>
      </c>
      <c r="DH523" s="399">
        <v>0</v>
      </c>
      <c r="DI523" s="399">
        <v>0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0</v>
      </c>
      <c r="DP523" s="399">
        <v>-0.13018758079962156</v>
      </c>
      <c r="DQ523" s="399">
        <v>0</v>
      </c>
      <c r="DR523" s="399">
        <v>0</v>
      </c>
      <c r="DS523" s="399"/>
      <c r="DT523" s="399"/>
      <c r="DU523" s="399"/>
      <c r="DV523" s="399">
        <v>756.48545042951707</v>
      </c>
      <c r="DW523" s="399">
        <v>0</v>
      </c>
      <c r="DX523" s="399">
        <v>0</v>
      </c>
      <c r="DY523" s="399">
        <v>-328.15487999999993</v>
      </c>
      <c r="DZ523" s="399">
        <v>0</v>
      </c>
      <c r="EA523" s="399">
        <v>0</v>
      </c>
      <c r="EB523" s="399">
        <v>0</v>
      </c>
      <c r="EC523" s="399">
        <v>-326.81637839197481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0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218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524</v>
      </c>
      <c r="B524" s="399" t="s">
        <v>2360</v>
      </c>
      <c r="C524" s="399" t="s">
        <v>2328</v>
      </c>
      <c r="D524" s="399" t="s">
        <v>1823</v>
      </c>
      <c r="E524" s="399" t="s">
        <v>889</v>
      </c>
      <c r="F524" s="399" t="s">
        <v>2333</v>
      </c>
      <c r="G524" s="399" t="s">
        <v>1239</v>
      </c>
      <c r="H524" s="399" t="s">
        <v>1239</v>
      </c>
      <c r="I524" s="399" t="s">
        <v>1239</v>
      </c>
      <c r="J524" s="399" t="s">
        <v>2329</v>
      </c>
      <c r="K524" s="789">
        <v>44743</v>
      </c>
      <c r="L524" s="399">
        <v>0</v>
      </c>
      <c r="M524" s="399">
        <v>0</v>
      </c>
      <c r="N524" s="399">
        <v>8.5999999999999993E-2</v>
      </c>
      <c r="O524" s="399">
        <v>8.5999999999999993E-2</v>
      </c>
      <c r="P524" s="399">
        <v>8.5999999999999993E-2</v>
      </c>
      <c r="Q524" s="399">
        <v>8.5999999999999993E-2</v>
      </c>
      <c r="R524" s="399"/>
      <c r="S524" s="399">
        <v>451.8</v>
      </c>
      <c r="T524" s="399">
        <v>141.32</v>
      </c>
      <c r="U524" s="399"/>
      <c r="V524" s="399">
        <v>51.008319999999998</v>
      </c>
      <c r="W524" s="399">
        <v>51.008319999999998</v>
      </c>
      <c r="X524" s="399">
        <v>38.885759999999998</v>
      </c>
      <c r="Y524" s="399">
        <v>0</v>
      </c>
      <c r="Z524" s="399">
        <v>0</v>
      </c>
      <c r="AA524" s="399">
        <v>0</v>
      </c>
      <c r="AB524" s="399">
        <v>0</v>
      </c>
      <c r="AC524" s="399">
        <v>0</v>
      </c>
      <c r="AD524" s="399">
        <v>9.2496269911998432</v>
      </c>
      <c r="AE524" s="399">
        <v>27.94576835779144</v>
      </c>
      <c r="AF524" s="399">
        <v>12.153427982750797</v>
      </c>
      <c r="AG524" s="399">
        <v>0</v>
      </c>
      <c r="AH524" s="399">
        <v>0</v>
      </c>
      <c r="AI524" s="399">
        <v>0</v>
      </c>
      <c r="AJ524" s="399">
        <v>0</v>
      </c>
      <c r="AK524" s="399">
        <v>0</v>
      </c>
      <c r="AL524" s="399">
        <v>0</v>
      </c>
      <c r="AM524" s="399"/>
      <c r="AN524" s="399">
        <v>0.11927053477891449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1.539821228945716</v>
      </c>
      <c r="BH524" s="399">
        <v>0</v>
      </c>
      <c r="BI524" s="399">
        <v>0.3</v>
      </c>
      <c r="BJ524" s="399">
        <v>1.39</v>
      </c>
      <c r="BK524" s="399">
        <v>13.52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13.693249211696513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40.694399999999995</v>
      </c>
      <c r="CJ524" s="399">
        <v>-10.343919999999997</v>
      </c>
      <c r="CK524" s="399"/>
      <c r="CL524" s="399"/>
      <c r="CM524" s="399"/>
      <c r="CN524" s="399"/>
      <c r="CO524" s="399">
        <v>-12.122560000000002</v>
      </c>
      <c r="CP524" s="399">
        <v>0</v>
      </c>
      <c r="CQ524" s="399">
        <v>31</v>
      </c>
      <c r="CR524" s="399">
        <v>-4.886256265240263E-2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-4.4053227622862678E-2</v>
      </c>
      <c r="DA524" s="399">
        <v>0</v>
      </c>
      <c r="DB524" s="399">
        <v>0</v>
      </c>
      <c r="DC524" s="399">
        <v>0</v>
      </c>
      <c r="DD524" s="399">
        <v>0</v>
      </c>
      <c r="DE524" s="399">
        <v>0</v>
      </c>
      <c r="DF524" s="399">
        <v>0</v>
      </c>
      <c r="DG524" s="399">
        <v>0</v>
      </c>
      <c r="DH524" s="399">
        <v>0</v>
      </c>
      <c r="DI524" s="399">
        <v>0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0</v>
      </c>
      <c r="DP524" s="399">
        <v>-4.8093350295392856E-3</v>
      </c>
      <c r="DQ524" s="399">
        <v>0</v>
      </c>
      <c r="DR524" s="399">
        <v>0</v>
      </c>
      <c r="DS524" s="399"/>
      <c r="DT524" s="399"/>
      <c r="DU524" s="399"/>
      <c r="DV524" s="399">
        <v>27.94576835779144</v>
      </c>
      <c r="DW524" s="399">
        <v>0</v>
      </c>
      <c r="DX524" s="399">
        <v>0</v>
      </c>
      <c r="DY524" s="399">
        <v>-12.12256</v>
      </c>
      <c r="DZ524" s="399">
        <v>0</v>
      </c>
      <c r="EA524" s="399">
        <v>0</v>
      </c>
      <c r="EB524" s="399">
        <v>0</v>
      </c>
      <c r="EC524" s="399">
        <v>-12.073113634755085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0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218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525</v>
      </c>
      <c r="B525" s="399" t="s">
        <v>956</v>
      </c>
      <c r="C525" s="399" t="s">
        <v>2328</v>
      </c>
      <c r="D525" s="399" t="s">
        <v>1826</v>
      </c>
      <c r="E525" s="399" t="s">
        <v>890</v>
      </c>
      <c r="F525" s="399" t="s">
        <v>1239</v>
      </c>
      <c r="G525" s="399" t="s">
        <v>1239</v>
      </c>
      <c r="H525" s="399" t="s">
        <v>1239</v>
      </c>
      <c r="I525" s="399" t="s">
        <v>1239</v>
      </c>
      <c r="J525" s="399" t="s">
        <v>2329</v>
      </c>
      <c r="K525" s="789">
        <v>44743</v>
      </c>
      <c r="L525" s="399">
        <v>0</v>
      </c>
      <c r="M525" s="399">
        <v>0</v>
      </c>
      <c r="N525" s="399">
        <v>143.267</v>
      </c>
      <c r="O525" s="399">
        <v>143.267</v>
      </c>
      <c r="P525" s="399">
        <v>143.267</v>
      </c>
      <c r="Q525" s="399">
        <v>143.267</v>
      </c>
      <c r="R525" s="399"/>
      <c r="S525" s="399">
        <v>521.86</v>
      </c>
      <c r="T525" s="399">
        <v>141.32</v>
      </c>
      <c r="U525" s="399"/>
      <c r="V525" s="399">
        <v>95011.80906</v>
      </c>
      <c r="W525" s="399">
        <v>95011.80906</v>
      </c>
      <c r="X525" s="399">
        <v>74259.584109999996</v>
      </c>
      <c r="Y525" s="399">
        <v>0</v>
      </c>
      <c r="Z525" s="399">
        <v>8693.017846919689</v>
      </c>
      <c r="AA525" s="399">
        <v>0</v>
      </c>
      <c r="AB525" s="399">
        <v>0</v>
      </c>
      <c r="AC525" s="399">
        <v>0</v>
      </c>
      <c r="AD525" s="399">
        <v>15408.91058311893</v>
      </c>
      <c r="AE525" s="399">
        <v>46554.725526926821</v>
      </c>
      <c r="AF525" s="399">
        <v>20246.339148892541</v>
      </c>
      <c r="AG525" s="399">
        <v>0</v>
      </c>
      <c r="AH525" s="399">
        <v>0</v>
      </c>
      <c r="AI525" s="399">
        <v>0</v>
      </c>
      <c r="AJ525" s="399">
        <v>0</v>
      </c>
      <c r="AK525" s="399">
        <v>0</v>
      </c>
      <c r="AL525" s="399">
        <v>1344.1298978602117</v>
      </c>
      <c r="AM525" s="399"/>
      <c r="AN525" s="399">
        <v>198.69222914152027</v>
      </c>
      <c r="AO525" s="399">
        <v>0</v>
      </c>
      <c r="AP525" s="399">
        <v>0</v>
      </c>
      <c r="AQ525" s="399">
        <v>0</v>
      </c>
      <c r="AR525" s="399">
        <v>0</v>
      </c>
      <c r="AS525" s="399">
        <v>0</v>
      </c>
      <c r="AT525" s="399">
        <v>0</v>
      </c>
      <c r="AU525" s="399">
        <v>0</v>
      </c>
      <c r="AV525" s="399">
        <v>0</v>
      </c>
      <c r="AW525" s="399">
        <v>0</v>
      </c>
      <c r="AX525" s="399">
        <v>0</v>
      </c>
      <c r="AY525" s="399">
        <v>0</v>
      </c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>
        <v>0</v>
      </c>
      <c r="BG525" s="399">
        <v>2565.181023341464</v>
      </c>
      <c r="BH525" s="399">
        <v>0</v>
      </c>
      <c r="BI525" s="399">
        <v>500.16</v>
      </c>
      <c r="BJ525" s="399">
        <v>2312.33</v>
      </c>
      <c r="BK525" s="399">
        <v>15747.17</v>
      </c>
      <c r="BL525" s="399">
        <v>138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22811.520172234006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74261.1391</v>
      </c>
      <c r="CJ525" s="399">
        <v>-20750.699959999984</v>
      </c>
      <c r="CK525" s="399"/>
      <c r="CL525" s="399"/>
      <c r="CM525" s="399"/>
      <c r="CN525" s="399"/>
      <c r="CO525" s="399">
        <v>-20752.224950000003</v>
      </c>
      <c r="CP525" s="399">
        <v>0</v>
      </c>
      <c r="CQ525" s="399">
        <v>31</v>
      </c>
      <c r="CR525" s="399">
        <v>-638.36012424926594</v>
      </c>
      <c r="CS525" s="399">
        <v>0</v>
      </c>
      <c r="CT525" s="399">
        <v>0</v>
      </c>
      <c r="CU525" s="399">
        <v>0</v>
      </c>
      <c r="CV525" s="399">
        <v>0</v>
      </c>
      <c r="CW525" s="399">
        <v>0</v>
      </c>
      <c r="CX525" s="399">
        <v>0</v>
      </c>
      <c r="CY525" s="399">
        <v>0</v>
      </c>
      <c r="CZ525" s="399">
        <v>-73.388066998195427</v>
      </c>
      <c r="DA525" s="399">
        <v>0</v>
      </c>
      <c r="DB525" s="399">
        <v>0</v>
      </c>
      <c r="DC525" s="399">
        <v>0</v>
      </c>
      <c r="DD525" s="399">
        <v>0</v>
      </c>
      <c r="DE525" s="399">
        <v>0</v>
      </c>
      <c r="DF525" s="399">
        <v>0</v>
      </c>
      <c r="DG525" s="399">
        <v>0</v>
      </c>
      <c r="DH525" s="399">
        <v>0</v>
      </c>
      <c r="DI525" s="399">
        <v>-489.7964535725132</v>
      </c>
      <c r="DJ525" s="399"/>
      <c r="DK525" s="399">
        <v>0</v>
      </c>
      <c r="DL525" s="399">
        <v>0</v>
      </c>
      <c r="DM525" s="399">
        <v>0</v>
      </c>
      <c r="DN525" s="399">
        <v>0</v>
      </c>
      <c r="DO525" s="399">
        <v>-67.163754821842758</v>
      </c>
      <c r="DP525" s="399">
        <v>-8.0118488567093493</v>
      </c>
      <c r="DQ525" s="399">
        <v>0</v>
      </c>
      <c r="DR525" s="399">
        <v>0</v>
      </c>
      <c r="DS525" s="399"/>
      <c r="DT525" s="399"/>
      <c r="DU525" s="399"/>
      <c r="DV525" s="399">
        <v>46554.725526926821</v>
      </c>
      <c r="DW525" s="399">
        <v>0</v>
      </c>
      <c r="DX525" s="399">
        <v>0</v>
      </c>
      <c r="DY525" s="399">
        <v>-20752.224950000003</v>
      </c>
      <c r="DZ525" s="399">
        <v>0</v>
      </c>
      <c r="EA525" s="399">
        <v>0</v>
      </c>
      <c r="EB525" s="399">
        <v>0</v>
      </c>
      <c r="EC525" s="399">
        <v>-20112.543850121594</v>
      </c>
      <c r="ED525" s="399">
        <v>0</v>
      </c>
      <c r="EE525" s="399">
        <v>0</v>
      </c>
      <c r="EF525" s="399">
        <v>0</v>
      </c>
      <c r="EG525" s="399">
        <v>0</v>
      </c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>
        <v>0</v>
      </c>
      <c r="EN525" s="399">
        <v>0</v>
      </c>
      <c r="EO525" s="399">
        <v>0</v>
      </c>
      <c r="EP525" s="399">
        <v>0</v>
      </c>
      <c r="EQ525" s="399">
        <v>0</v>
      </c>
      <c r="ER525" s="399">
        <v>0</v>
      </c>
      <c r="ES525" s="399">
        <v>0</v>
      </c>
      <c r="ET525" s="399">
        <v>0</v>
      </c>
      <c r="EU525" s="399">
        <v>0</v>
      </c>
      <c r="EV525" s="399">
        <v>218</v>
      </c>
      <c r="EW525" s="399">
        <v>0</v>
      </c>
      <c r="EX525" s="399">
        <v>0</v>
      </c>
      <c r="EY525" s="399">
        <v>0</v>
      </c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526</v>
      </c>
      <c r="B526" s="399" t="s">
        <v>2361</v>
      </c>
      <c r="C526" s="399" t="s">
        <v>2328</v>
      </c>
      <c r="D526" s="399" t="s">
        <v>1826</v>
      </c>
      <c r="E526" s="399" t="s">
        <v>890</v>
      </c>
      <c r="F526" s="399" t="s">
        <v>1239</v>
      </c>
      <c r="G526" s="399" t="s">
        <v>1239</v>
      </c>
      <c r="H526" s="399" t="s">
        <v>1239</v>
      </c>
      <c r="I526" s="399" t="s">
        <v>1239</v>
      </c>
      <c r="J526" s="399" t="s">
        <v>2329</v>
      </c>
      <c r="K526" s="789">
        <v>44743</v>
      </c>
      <c r="L526" s="399">
        <v>0</v>
      </c>
      <c r="M526" s="399">
        <v>0</v>
      </c>
      <c r="N526" s="399">
        <v>17.295000000000002</v>
      </c>
      <c r="O526" s="399">
        <v>17.295000000000002</v>
      </c>
      <c r="P526" s="399">
        <v>17.295000000000002</v>
      </c>
      <c r="Q526" s="399">
        <v>17.295000000000002</v>
      </c>
      <c r="R526" s="399"/>
      <c r="S526" s="399">
        <v>521.86</v>
      </c>
      <c r="T526" s="399">
        <v>141.32</v>
      </c>
      <c r="U526" s="399"/>
      <c r="V526" s="399">
        <v>11469.698100000001</v>
      </c>
      <c r="W526" s="399">
        <v>11469.698100000001</v>
      </c>
      <c r="X526" s="399">
        <v>8964.5173500000001</v>
      </c>
      <c r="Y526" s="399">
        <v>0</v>
      </c>
      <c r="Z526" s="399">
        <v>1049.4094499254959</v>
      </c>
      <c r="AA526" s="399">
        <v>0</v>
      </c>
      <c r="AB526" s="399">
        <v>0</v>
      </c>
      <c r="AC526" s="399">
        <v>0</v>
      </c>
      <c r="AD526" s="399">
        <v>1860.1430094511779</v>
      </c>
      <c r="AE526" s="399">
        <v>5620.0239970698021</v>
      </c>
      <c r="AF526" s="399">
        <v>2444.1108949031982</v>
      </c>
      <c r="AG526" s="399">
        <v>0</v>
      </c>
      <c r="AH526" s="399">
        <v>0</v>
      </c>
      <c r="AI526" s="399">
        <v>0</v>
      </c>
      <c r="AJ526" s="399">
        <v>0</v>
      </c>
      <c r="AK526" s="399">
        <v>0</v>
      </c>
      <c r="AL526" s="399">
        <v>162.26155767547561</v>
      </c>
      <c r="AM526" s="399"/>
      <c r="AN526" s="399">
        <v>23.985859290713098</v>
      </c>
      <c r="AO526" s="399">
        <v>0</v>
      </c>
      <c r="AP526" s="399">
        <v>0</v>
      </c>
      <c r="AQ526" s="399">
        <v>0</v>
      </c>
      <c r="AR526" s="399">
        <v>0</v>
      </c>
      <c r="AS526" s="399">
        <v>0</v>
      </c>
      <c r="AT526" s="399">
        <v>0</v>
      </c>
      <c r="AU526" s="399">
        <v>0</v>
      </c>
      <c r="AV526" s="399">
        <v>0</v>
      </c>
      <c r="AW526" s="399">
        <v>0</v>
      </c>
      <c r="AX526" s="399">
        <v>0</v>
      </c>
      <c r="AY526" s="399">
        <v>0</v>
      </c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>
        <v>0</v>
      </c>
      <c r="BG526" s="399">
        <v>309.66521110018795</v>
      </c>
      <c r="BH526" s="399">
        <v>0</v>
      </c>
      <c r="BI526" s="399">
        <v>60.39</v>
      </c>
      <c r="BJ526" s="399">
        <v>279.16000000000003</v>
      </c>
      <c r="BK526" s="399">
        <v>3646.56</v>
      </c>
      <c r="BL526" s="399">
        <v>13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2753.7761060033863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8967.1090000000004</v>
      </c>
      <c r="CJ526" s="399">
        <v>-2502.6191000000017</v>
      </c>
      <c r="CK526" s="399"/>
      <c r="CL526" s="399"/>
      <c r="CM526" s="399"/>
      <c r="CN526" s="399"/>
      <c r="CO526" s="399">
        <v>-2505.1807500000004</v>
      </c>
      <c r="CP526" s="399">
        <v>0</v>
      </c>
      <c r="CQ526" s="399">
        <v>31</v>
      </c>
      <c r="CR526" s="399">
        <v>-77.061977628420209</v>
      </c>
      <c r="CS526" s="399">
        <v>0</v>
      </c>
      <c r="CT526" s="399">
        <v>0</v>
      </c>
      <c r="CU526" s="399">
        <v>0</v>
      </c>
      <c r="CV526" s="399">
        <v>0</v>
      </c>
      <c r="CW526" s="399">
        <v>0</v>
      </c>
      <c r="CX526" s="399">
        <v>0</v>
      </c>
      <c r="CY526" s="399">
        <v>0</v>
      </c>
      <c r="CZ526" s="399">
        <v>-8.8593089736907586</v>
      </c>
      <c r="DA526" s="399">
        <v>0</v>
      </c>
      <c r="DB526" s="399">
        <v>0</v>
      </c>
      <c r="DC526" s="399">
        <v>0</v>
      </c>
      <c r="DD526" s="399">
        <v>0</v>
      </c>
      <c r="DE526" s="399">
        <v>0</v>
      </c>
      <c r="DF526" s="399">
        <v>0</v>
      </c>
      <c r="DG526" s="399">
        <v>0</v>
      </c>
      <c r="DH526" s="399">
        <v>0</v>
      </c>
      <c r="DI526" s="399">
        <v>-59.12757065155688</v>
      </c>
      <c r="DJ526" s="399"/>
      <c r="DK526" s="399">
        <v>0</v>
      </c>
      <c r="DL526" s="399">
        <v>0</v>
      </c>
      <c r="DM526" s="399">
        <v>0</v>
      </c>
      <c r="DN526" s="399">
        <v>0</v>
      </c>
      <c r="DO526" s="399">
        <v>-8.1079183597323379</v>
      </c>
      <c r="DP526" s="399">
        <v>-0.96717964344048823</v>
      </c>
      <c r="DQ526" s="399">
        <v>0</v>
      </c>
      <c r="DR526" s="399">
        <v>0</v>
      </c>
      <c r="DS526" s="399"/>
      <c r="DT526" s="399"/>
      <c r="DU526" s="399"/>
      <c r="DV526" s="399">
        <v>5620.0239970698021</v>
      </c>
      <c r="DW526" s="399">
        <v>0</v>
      </c>
      <c r="DX526" s="399">
        <v>0</v>
      </c>
      <c r="DY526" s="399">
        <v>-2505.1807500000014</v>
      </c>
      <c r="DZ526" s="399">
        <v>0</v>
      </c>
      <c r="EA526" s="399">
        <v>0</v>
      </c>
      <c r="EB526" s="399">
        <v>0</v>
      </c>
      <c r="EC526" s="399">
        <v>-2427.9593059661534</v>
      </c>
      <c r="ED526" s="399">
        <v>0</v>
      </c>
      <c r="EE526" s="399">
        <v>0</v>
      </c>
      <c r="EF526" s="399">
        <v>0</v>
      </c>
      <c r="EG526" s="399">
        <v>0</v>
      </c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>
        <v>0</v>
      </c>
      <c r="EN526" s="399">
        <v>0</v>
      </c>
      <c r="EO526" s="399">
        <v>0</v>
      </c>
      <c r="EP526" s="399">
        <v>0</v>
      </c>
      <c r="EQ526" s="399">
        <v>0</v>
      </c>
      <c r="ER526" s="399">
        <v>0</v>
      </c>
      <c r="ES526" s="399">
        <v>0</v>
      </c>
      <c r="ET526" s="399">
        <v>0</v>
      </c>
      <c r="EU526" s="399">
        <v>0</v>
      </c>
      <c r="EV526" s="399">
        <v>218</v>
      </c>
      <c r="EW526" s="399">
        <v>0</v>
      </c>
      <c r="EX526" s="399">
        <v>0</v>
      </c>
      <c r="EY526" s="399">
        <v>0</v>
      </c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527</v>
      </c>
      <c r="B527" s="399" t="s">
        <v>956</v>
      </c>
      <c r="C527" s="399" t="s">
        <v>2334</v>
      </c>
      <c r="D527" s="399" t="s">
        <v>533</v>
      </c>
      <c r="E527" s="399" t="s">
        <v>890</v>
      </c>
      <c r="F527" s="399" t="s">
        <v>1239</v>
      </c>
      <c r="G527" s="399" t="s">
        <v>1239</v>
      </c>
      <c r="H527" s="399" t="s">
        <v>1239</v>
      </c>
      <c r="I527" s="399" t="s">
        <v>893</v>
      </c>
      <c r="J527" s="399" t="s">
        <v>2329</v>
      </c>
      <c r="K527" s="789">
        <v>44743</v>
      </c>
      <c r="L527" s="399">
        <v>0</v>
      </c>
      <c r="M527" s="399">
        <v>0</v>
      </c>
      <c r="N527" s="399">
        <v>121.75</v>
      </c>
      <c r="O527" s="399">
        <v>121.75</v>
      </c>
      <c r="P527" s="399">
        <v>121.75</v>
      </c>
      <c r="Q527" s="399">
        <v>121.75</v>
      </c>
      <c r="R527" s="399"/>
      <c r="S527" s="399">
        <v>2741.05</v>
      </c>
      <c r="T527" s="399">
        <v>141.32</v>
      </c>
      <c r="U527" s="399"/>
      <c r="V527" s="399">
        <v>350928.54750000004</v>
      </c>
      <c r="W527" s="399">
        <v>350928.54750000004</v>
      </c>
      <c r="X527" s="399">
        <v>251277.38999999998</v>
      </c>
      <c r="Y527" s="399">
        <v>0</v>
      </c>
      <c r="Z527" s="399">
        <v>6427.0640335202861</v>
      </c>
      <c r="AA527" s="399">
        <v>0</v>
      </c>
      <c r="AB527" s="399">
        <v>0</v>
      </c>
      <c r="AC527" s="399">
        <v>0</v>
      </c>
      <c r="AD527" s="399">
        <v>96616.110083835694</v>
      </c>
      <c r="AE527" s="399">
        <v>228623.21366670664</v>
      </c>
      <c r="AF527" s="399">
        <v>17205.579731394297</v>
      </c>
      <c r="AG527" s="399">
        <v>0</v>
      </c>
      <c r="AH527" s="399">
        <v>0</v>
      </c>
      <c r="AI527" s="399">
        <v>0</v>
      </c>
      <c r="AJ527" s="399">
        <v>0</v>
      </c>
      <c r="AK527" s="399">
        <v>0</v>
      </c>
      <c r="AL527" s="399">
        <v>1142.2575684873752</v>
      </c>
      <c r="AM527" s="399"/>
      <c r="AN527" s="399">
        <v>73.140388713746361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841.65268822658209</v>
      </c>
      <c r="BH527" s="399">
        <v>0</v>
      </c>
      <c r="BI527" s="399">
        <v>0</v>
      </c>
      <c r="BJ527" s="399">
        <v>0</v>
      </c>
      <c r="BK527" s="399">
        <v>0</v>
      </c>
      <c r="BL527" s="399">
        <v>0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>
        <v>18047.232419620879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251277.38999999998</v>
      </c>
      <c r="CJ527" s="399">
        <v>-99651.187500000087</v>
      </c>
      <c r="CK527" s="399"/>
      <c r="CL527" s="399"/>
      <c r="CM527" s="399"/>
      <c r="CN527" s="399"/>
      <c r="CO527" s="399">
        <v>-99651.15750000003</v>
      </c>
      <c r="CP527" s="399">
        <v>0</v>
      </c>
      <c r="CQ527" s="399">
        <v>31</v>
      </c>
      <c r="CR527" s="399">
        <v>-882.30396201145777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-460.15385199972661</v>
      </c>
      <c r="DA527" s="399">
        <v>0</v>
      </c>
      <c r="DB527" s="399">
        <v>0</v>
      </c>
      <c r="DC527" s="399">
        <v>0</v>
      </c>
      <c r="DD527" s="399">
        <v>0</v>
      </c>
      <c r="DE527" s="399">
        <v>0</v>
      </c>
      <c r="DF527" s="399">
        <v>0</v>
      </c>
      <c r="DG527" s="399">
        <v>0</v>
      </c>
      <c r="DH527" s="399">
        <v>0</v>
      </c>
      <c r="DI527" s="399">
        <v>-362.12431930267394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-57.076557403724337</v>
      </c>
      <c r="DP527" s="399">
        <v>-2.9492333053357385</v>
      </c>
      <c r="DQ527" s="399">
        <v>0</v>
      </c>
      <c r="DR527" s="399">
        <v>0</v>
      </c>
      <c r="DS527" s="399"/>
      <c r="DT527" s="399"/>
      <c r="DU527" s="399"/>
      <c r="DV527" s="399">
        <v>228623.21366670664</v>
      </c>
      <c r="DW527" s="399">
        <v>0</v>
      </c>
      <c r="DX527" s="399">
        <v>0</v>
      </c>
      <c r="DY527" s="399">
        <v>-99651.15750000003</v>
      </c>
      <c r="DZ527" s="399">
        <v>0</v>
      </c>
      <c r="EA527" s="399">
        <v>0</v>
      </c>
      <c r="EB527" s="399">
        <v>0</v>
      </c>
      <c r="EC527" s="399">
        <v>-98769.659964332124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218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528</v>
      </c>
      <c r="B528" s="399" t="s">
        <v>956</v>
      </c>
      <c r="C528" s="399" t="s">
        <v>2334</v>
      </c>
      <c r="D528" s="399" t="s">
        <v>533</v>
      </c>
      <c r="E528" s="399" t="s">
        <v>890</v>
      </c>
      <c r="F528" s="399" t="s">
        <v>1239</v>
      </c>
      <c r="G528" s="399" t="s">
        <v>1239</v>
      </c>
      <c r="H528" s="399" t="s">
        <v>1239</v>
      </c>
      <c r="I528" s="399" t="s">
        <v>2326</v>
      </c>
      <c r="J528" s="399" t="s">
        <v>2329</v>
      </c>
      <c r="K528" s="789">
        <v>44743</v>
      </c>
      <c r="L528" s="399">
        <v>0</v>
      </c>
      <c r="M528" s="399">
        <v>0</v>
      </c>
      <c r="N528" s="399">
        <v>2324.8240000000001</v>
      </c>
      <c r="O528" s="399">
        <v>2324.8240000000001</v>
      </c>
      <c r="P528" s="399">
        <v>2324.8240000000001</v>
      </c>
      <c r="Q528" s="399">
        <v>2324.8240000000001</v>
      </c>
      <c r="R528" s="399"/>
      <c r="S528" s="399">
        <v>69.680000000000007</v>
      </c>
      <c r="T528" s="399">
        <v>141.32</v>
      </c>
      <c r="U528" s="399"/>
      <c r="V528" s="399">
        <v>490537.864</v>
      </c>
      <c r="W528" s="399">
        <v>490537.864</v>
      </c>
      <c r="X528" s="399">
        <v>482493.97295999998</v>
      </c>
      <c r="Y528" s="399">
        <v>0</v>
      </c>
      <c r="Z528" s="399">
        <v>122725.19683502888</v>
      </c>
      <c r="AA528" s="399">
        <v>0</v>
      </c>
      <c r="AB528" s="399">
        <v>0</v>
      </c>
      <c r="AC528" s="399">
        <v>0</v>
      </c>
      <c r="AD528" s="399">
        <v>0</v>
      </c>
      <c r="AE528" s="399">
        <v>0</v>
      </c>
      <c r="AF528" s="399">
        <v>328541.64019268187</v>
      </c>
      <c r="AG528" s="399">
        <v>0</v>
      </c>
      <c r="AH528" s="399">
        <v>0</v>
      </c>
      <c r="AI528" s="399">
        <v>0</v>
      </c>
      <c r="AJ528" s="399">
        <v>0</v>
      </c>
      <c r="AK528" s="399">
        <v>0</v>
      </c>
      <c r="AL528" s="399">
        <v>21811.480980707136</v>
      </c>
      <c r="AM528" s="399"/>
      <c r="AN528" s="399">
        <v>1396.6203782426833</v>
      </c>
      <c r="AO528" s="399">
        <v>0</v>
      </c>
      <c r="AP528" s="399">
        <v>0</v>
      </c>
      <c r="AQ528" s="399">
        <v>0</v>
      </c>
      <c r="AR528" s="399">
        <v>0</v>
      </c>
      <c r="AS528" s="399">
        <v>0</v>
      </c>
      <c r="AT528" s="399">
        <v>0</v>
      </c>
      <c r="AU528" s="399">
        <v>0</v>
      </c>
      <c r="AV528" s="399">
        <v>0</v>
      </c>
      <c r="AW528" s="399">
        <v>0</v>
      </c>
      <c r="AX528" s="399">
        <v>0</v>
      </c>
      <c r="AY528" s="399">
        <v>0</v>
      </c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>
        <v>0</v>
      </c>
      <c r="BG528" s="399">
        <v>16071.411657114379</v>
      </c>
      <c r="BH528" s="399">
        <v>0</v>
      </c>
      <c r="BI528" s="399">
        <v>0</v>
      </c>
      <c r="BJ528" s="399">
        <v>0</v>
      </c>
      <c r="BK528" s="399">
        <v>0</v>
      </c>
      <c r="BL528" s="399">
        <v>0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>
        <v>344613.05184979626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482493.14280000003</v>
      </c>
      <c r="CJ528" s="399">
        <v>-8044.7511999999988</v>
      </c>
      <c r="CK528" s="399"/>
      <c r="CL528" s="399"/>
      <c r="CM528" s="399"/>
      <c r="CN528" s="399"/>
      <c r="CO528" s="399">
        <v>-8043.8910400000186</v>
      </c>
      <c r="CP528" s="399">
        <v>0</v>
      </c>
      <c r="CQ528" s="399">
        <v>31</v>
      </c>
      <c r="CR528" s="399">
        <v>-8060.9832226523431</v>
      </c>
      <c r="CS528" s="399">
        <v>0</v>
      </c>
      <c r="CT528" s="399">
        <v>0</v>
      </c>
      <c r="CU528" s="399">
        <v>0</v>
      </c>
      <c r="CV528" s="399">
        <v>0</v>
      </c>
      <c r="CW528" s="399">
        <v>0</v>
      </c>
      <c r="CX528" s="399">
        <v>0</v>
      </c>
      <c r="CY528" s="399">
        <v>0</v>
      </c>
      <c r="CZ528" s="399">
        <v>0</v>
      </c>
      <c r="DA528" s="399">
        <v>0</v>
      </c>
      <c r="DB528" s="399">
        <v>0</v>
      </c>
      <c r="DC528" s="399">
        <v>0</v>
      </c>
      <c r="DD528" s="399">
        <v>0</v>
      </c>
      <c r="DE528" s="399">
        <v>0</v>
      </c>
      <c r="DF528" s="399">
        <v>0</v>
      </c>
      <c r="DG528" s="399">
        <v>0</v>
      </c>
      <c r="DH528" s="399">
        <v>0</v>
      </c>
      <c r="DI528" s="399">
        <v>-6914.7869281192543</v>
      </c>
      <c r="DJ528" s="399"/>
      <c r="DK528" s="399">
        <v>0</v>
      </c>
      <c r="DL528" s="399">
        <v>0</v>
      </c>
      <c r="DM528" s="399">
        <v>0</v>
      </c>
      <c r="DN528" s="399">
        <v>0</v>
      </c>
      <c r="DO528" s="399">
        <v>-1089.8804968341356</v>
      </c>
      <c r="DP528" s="399">
        <v>-56.315797698923006</v>
      </c>
      <c r="DQ528" s="399">
        <v>0</v>
      </c>
      <c r="DR528" s="399">
        <v>0</v>
      </c>
      <c r="DS528" s="399"/>
      <c r="DT528" s="399"/>
      <c r="DU528" s="399"/>
      <c r="DV528" s="399">
        <v>0</v>
      </c>
      <c r="DW528" s="399">
        <v>0</v>
      </c>
      <c r="DX528" s="399">
        <v>0</v>
      </c>
      <c r="DY528" s="399">
        <v>-8043.8910400000168</v>
      </c>
      <c r="DZ528" s="399">
        <v>0</v>
      </c>
      <c r="EA528" s="399">
        <v>0</v>
      </c>
      <c r="EB528" s="399">
        <v>0</v>
      </c>
      <c r="EC528" s="399">
        <v>0</v>
      </c>
      <c r="ED528" s="399">
        <v>0</v>
      </c>
      <c r="EE528" s="399">
        <v>0</v>
      </c>
      <c r="EF528" s="399">
        <v>0</v>
      </c>
      <c r="EG528" s="399">
        <v>0</v>
      </c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>
        <v>0</v>
      </c>
      <c r="EN528" s="399">
        <v>0</v>
      </c>
      <c r="EO528" s="399">
        <v>0</v>
      </c>
      <c r="EP528" s="399">
        <v>0</v>
      </c>
      <c r="EQ528" s="399">
        <v>0</v>
      </c>
      <c r="ER528" s="399">
        <v>0</v>
      </c>
      <c r="ES528" s="399">
        <v>0</v>
      </c>
      <c r="ET528" s="399">
        <v>0</v>
      </c>
      <c r="EU528" s="399">
        <v>0</v>
      </c>
      <c r="EV528" s="399">
        <v>218</v>
      </c>
      <c r="EW528" s="399">
        <v>0</v>
      </c>
      <c r="EX528" s="399">
        <v>0</v>
      </c>
      <c r="EY528" s="399">
        <v>0</v>
      </c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529</v>
      </c>
      <c r="B529" s="399" t="s">
        <v>956</v>
      </c>
      <c r="C529" s="399" t="s">
        <v>2334</v>
      </c>
      <c r="D529" s="399" t="s">
        <v>533</v>
      </c>
      <c r="E529" s="399" t="s">
        <v>890</v>
      </c>
      <c r="F529" s="399" t="s">
        <v>1239</v>
      </c>
      <c r="G529" s="399" t="s">
        <v>1239</v>
      </c>
      <c r="H529" s="399" t="s">
        <v>1239</v>
      </c>
      <c r="I529" s="399" t="s">
        <v>1239</v>
      </c>
      <c r="J529" s="399" t="s">
        <v>2329</v>
      </c>
      <c r="K529" s="789">
        <v>44743</v>
      </c>
      <c r="L529" s="399">
        <v>10786</v>
      </c>
      <c r="M529" s="399">
        <v>10786</v>
      </c>
      <c r="N529" s="399">
        <v>0</v>
      </c>
      <c r="O529" s="399">
        <v>0</v>
      </c>
      <c r="P529" s="399">
        <v>0</v>
      </c>
      <c r="Q529" s="399">
        <v>0</v>
      </c>
      <c r="R529" s="399">
        <v>35.15</v>
      </c>
      <c r="S529" s="399"/>
      <c r="T529" s="399"/>
      <c r="U529" s="399">
        <v>379127.89999999997</v>
      </c>
      <c r="V529" s="399"/>
      <c r="W529" s="399">
        <v>379127.89999999997</v>
      </c>
      <c r="X529" s="399">
        <v>276768.76</v>
      </c>
      <c r="Y529" s="399">
        <v>0</v>
      </c>
      <c r="Z529" s="399">
        <v>0</v>
      </c>
      <c r="AA529" s="399">
        <v>0</v>
      </c>
      <c r="AB529" s="399">
        <v>0</v>
      </c>
      <c r="AC529" s="399">
        <v>0</v>
      </c>
      <c r="AD529" s="399">
        <v>143792.19233317356</v>
      </c>
      <c r="AE529" s="399">
        <v>235328.70230876168</v>
      </c>
      <c r="AF529" s="399"/>
      <c r="AG529" s="399"/>
      <c r="AH529" s="399"/>
      <c r="AI529" s="399">
        <v>0</v>
      </c>
      <c r="AJ529" s="399">
        <v>0</v>
      </c>
      <c r="AK529" s="399">
        <v>0</v>
      </c>
      <c r="AL529" s="399">
        <v>0</v>
      </c>
      <c r="AM529" s="399"/>
      <c r="AN529" s="399">
        <v>0</v>
      </c>
      <c r="AO529" s="399">
        <v>0</v>
      </c>
      <c r="AP529" s="399">
        <v>0</v>
      </c>
      <c r="AQ529" s="399">
        <v>0</v>
      </c>
      <c r="AR529" s="399">
        <v>0</v>
      </c>
      <c r="AS529" s="399"/>
      <c r="AT529" s="399"/>
      <c r="AU529" s="399">
        <v>0</v>
      </c>
      <c r="AV529" s="399">
        <v>0</v>
      </c>
      <c r="AW529" s="399">
        <v>0</v>
      </c>
      <c r="AX529" s="399"/>
      <c r="AY529" s="399"/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/>
      <c r="BG529" s="399">
        <v>0</v>
      </c>
      <c r="BH529" s="399">
        <v>0</v>
      </c>
      <c r="BI529" s="399">
        <v>6903.38</v>
      </c>
      <c r="BJ529" s="399">
        <v>31862.58</v>
      </c>
      <c r="BK529" s="399">
        <v>211316.75</v>
      </c>
      <c r="BL529" s="399">
        <v>30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0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276768.76</v>
      </c>
      <c r="CJ529" s="399">
        <v>-102359.16999999998</v>
      </c>
      <c r="CK529" s="399"/>
      <c r="CL529" s="399"/>
      <c r="CM529" s="399"/>
      <c r="CN529" s="399"/>
      <c r="CO529" s="399">
        <v>-102359.13999999998</v>
      </c>
      <c r="CP529" s="399">
        <v>0</v>
      </c>
      <c r="CQ529" s="399">
        <v>31</v>
      </c>
      <c r="CR529" s="399">
        <v>-684.83952761182445</v>
      </c>
      <c r="CS529" s="399">
        <v>0</v>
      </c>
      <c r="CT529" s="399">
        <v>0</v>
      </c>
      <c r="CU529" s="399">
        <v>0</v>
      </c>
      <c r="CV529" s="399">
        <v>0</v>
      </c>
      <c r="CW529" s="399"/>
      <c r="CX529" s="399"/>
      <c r="CY529" s="399"/>
      <c r="CZ529" s="399">
        <v>-684.83952761182445</v>
      </c>
      <c r="DA529" s="399">
        <v>0</v>
      </c>
      <c r="DB529" s="399">
        <v>0</v>
      </c>
      <c r="DC529" s="399"/>
      <c r="DD529" s="399"/>
      <c r="DE529" s="399">
        <v>0</v>
      </c>
      <c r="DF529" s="399">
        <v>0</v>
      </c>
      <c r="DG529" s="399">
        <v>0</v>
      </c>
      <c r="DH529" s="399">
        <v>0</v>
      </c>
      <c r="DI529" s="399">
        <v>0</v>
      </c>
      <c r="DJ529" s="399"/>
      <c r="DK529" s="399">
        <v>0</v>
      </c>
      <c r="DL529" s="399">
        <v>0</v>
      </c>
      <c r="DM529" s="399"/>
      <c r="DN529" s="399">
        <v>0</v>
      </c>
      <c r="DO529" s="399">
        <v>0</v>
      </c>
      <c r="DP529" s="399">
        <v>0</v>
      </c>
      <c r="DQ529" s="399">
        <v>0</v>
      </c>
      <c r="DR529" s="399">
        <v>0</v>
      </c>
      <c r="DS529" s="399"/>
      <c r="DT529" s="399"/>
      <c r="DU529" s="399">
        <v>235328.70230876168</v>
      </c>
      <c r="DV529" s="399"/>
      <c r="DW529" s="399">
        <v>0</v>
      </c>
      <c r="DX529" s="399">
        <v>0</v>
      </c>
      <c r="DY529" s="399">
        <v>-102359.13999999996</v>
      </c>
      <c r="DZ529" s="399"/>
      <c r="EA529" s="399">
        <v>0</v>
      </c>
      <c r="EB529" s="399"/>
      <c r="EC529" s="399">
        <v>-101666.56103771101</v>
      </c>
      <c r="ED529" s="399"/>
      <c r="EE529" s="399">
        <v>0</v>
      </c>
      <c r="EF529" s="399">
        <v>0</v>
      </c>
      <c r="EG529" s="399"/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/>
      <c r="EN529" s="399"/>
      <c r="EO529" s="399">
        <v>0</v>
      </c>
      <c r="EP529" s="399">
        <v>0</v>
      </c>
      <c r="EQ529" s="399"/>
      <c r="ER529" s="399">
        <v>0</v>
      </c>
      <c r="ES529" s="399"/>
      <c r="ET529" s="399">
        <v>0</v>
      </c>
      <c r="EU529" s="399"/>
      <c r="EV529" s="399">
        <v>218</v>
      </c>
      <c r="EW529" s="399"/>
      <c r="EX529" s="399"/>
      <c r="EY529" s="399"/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530</v>
      </c>
      <c r="B530" s="399" t="s">
        <v>2361</v>
      </c>
      <c r="C530" s="399" t="s">
        <v>2334</v>
      </c>
      <c r="D530" s="399" t="s">
        <v>533</v>
      </c>
      <c r="E530" s="399" t="s">
        <v>890</v>
      </c>
      <c r="F530" s="399" t="s">
        <v>1239</v>
      </c>
      <c r="G530" s="399" t="s">
        <v>1239</v>
      </c>
      <c r="H530" s="399" t="s">
        <v>1239</v>
      </c>
      <c r="I530" s="399" t="s">
        <v>1239</v>
      </c>
      <c r="J530" s="399" t="s">
        <v>2329</v>
      </c>
      <c r="K530" s="789">
        <v>44743</v>
      </c>
      <c r="L530" s="399">
        <v>450</v>
      </c>
      <c r="M530" s="399">
        <v>450</v>
      </c>
      <c r="N530" s="399">
        <v>0</v>
      </c>
      <c r="O530" s="399">
        <v>0</v>
      </c>
      <c r="P530" s="399">
        <v>0</v>
      </c>
      <c r="Q530" s="399">
        <v>0</v>
      </c>
      <c r="R530" s="399">
        <v>35.15</v>
      </c>
      <c r="S530" s="399"/>
      <c r="T530" s="399"/>
      <c r="U530" s="399">
        <v>15817.5</v>
      </c>
      <c r="V530" s="399"/>
      <c r="W530" s="399">
        <v>15817.5</v>
      </c>
      <c r="X530" s="399">
        <v>11547</v>
      </c>
      <c r="Y530" s="399">
        <v>0</v>
      </c>
      <c r="Z530" s="399">
        <v>0</v>
      </c>
      <c r="AA530" s="399">
        <v>0</v>
      </c>
      <c r="AB530" s="399">
        <v>0</v>
      </c>
      <c r="AC530" s="399">
        <v>0</v>
      </c>
      <c r="AD530" s="399">
        <v>5999.1179816362046</v>
      </c>
      <c r="AE530" s="399">
        <v>9818.0897495774843</v>
      </c>
      <c r="AF530" s="399"/>
      <c r="AG530" s="399"/>
      <c r="AH530" s="399"/>
      <c r="AI530" s="399">
        <v>0</v>
      </c>
      <c r="AJ530" s="399">
        <v>0</v>
      </c>
      <c r="AK530" s="399">
        <v>0</v>
      </c>
      <c r="AL530" s="399">
        <v>0</v>
      </c>
      <c r="AM530" s="399"/>
      <c r="AN530" s="399">
        <v>0</v>
      </c>
      <c r="AO530" s="399">
        <v>0</v>
      </c>
      <c r="AP530" s="399">
        <v>0</v>
      </c>
      <c r="AQ530" s="399">
        <v>0</v>
      </c>
      <c r="AR530" s="399">
        <v>0</v>
      </c>
      <c r="AS530" s="399"/>
      <c r="AT530" s="399"/>
      <c r="AU530" s="399">
        <v>0</v>
      </c>
      <c r="AV530" s="399">
        <v>0</v>
      </c>
      <c r="AW530" s="399">
        <v>0</v>
      </c>
      <c r="AX530" s="399"/>
      <c r="AY530" s="399"/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/>
      <c r="BG530" s="399">
        <v>0</v>
      </c>
      <c r="BH530" s="399">
        <v>0</v>
      </c>
      <c r="BI530" s="399">
        <v>81.849999999999994</v>
      </c>
      <c r="BJ530" s="399">
        <v>377.84</v>
      </c>
      <c r="BK530" s="399">
        <v>3219.35</v>
      </c>
      <c r="BL530" s="399">
        <v>2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0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11547</v>
      </c>
      <c r="CJ530" s="399">
        <v>-4270.5300000000007</v>
      </c>
      <c r="CK530" s="399"/>
      <c r="CL530" s="399"/>
      <c r="CM530" s="399"/>
      <c r="CN530" s="399"/>
      <c r="CO530" s="399">
        <v>-4270.4999999999991</v>
      </c>
      <c r="CP530" s="399">
        <v>0</v>
      </c>
      <c r="CQ530" s="399">
        <v>31</v>
      </c>
      <c r="CR530" s="399">
        <v>-28.572018118424239</v>
      </c>
      <c r="CS530" s="399">
        <v>0</v>
      </c>
      <c r="CT530" s="399">
        <v>0</v>
      </c>
      <c r="CU530" s="399">
        <v>0</v>
      </c>
      <c r="CV530" s="399">
        <v>0</v>
      </c>
      <c r="CW530" s="399"/>
      <c r="CX530" s="399"/>
      <c r="CY530" s="399"/>
      <c r="CZ530" s="399">
        <v>-28.572018118424239</v>
      </c>
      <c r="DA530" s="399">
        <v>0</v>
      </c>
      <c r="DB530" s="399">
        <v>0</v>
      </c>
      <c r="DC530" s="399"/>
      <c r="DD530" s="399"/>
      <c r="DE530" s="399">
        <v>0</v>
      </c>
      <c r="DF530" s="399">
        <v>0</v>
      </c>
      <c r="DG530" s="399">
        <v>0</v>
      </c>
      <c r="DH530" s="399">
        <v>0</v>
      </c>
      <c r="DI530" s="399">
        <v>0</v>
      </c>
      <c r="DJ530" s="399"/>
      <c r="DK530" s="399">
        <v>0</v>
      </c>
      <c r="DL530" s="399">
        <v>0</v>
      </c>
      <c r="DM530" s="399"/>
      <c r="DN530" s="399">
        <v>0</v>
      </c>
      <c r="DO530" s="399">
        <v>0</v>
      </c>
      <c r="DP530" s="399">
        <v>0</v>
      </c>
      <c r="DQ530" s="399">
        <v>0</v>
      </c>
      <c r="DR530" s="399">
        <v>0</v>
      </c>
      <c r="DS530" s="399"/>
      <c r="DT530" s="399"/>
      <c r="DU530" s="399">
        <v>9818.0897495774843</v>
      </c>
      <c r="DV530" s="399"/>
      <c r="DW530" s="399">
        <v>0</v>
      </c>
      <c r="DX530" s="399">
        <v>0</v>
      </c>
      <c r="DY530" s="399">
        <v>-4270.5</v>
      </c>
      <c r="DZ530" s="399"/>
      <c r="EA530" s="399">
        <v>0</v>
      </c>
      <c r="EB530" s="399"/>
      <c r="EC530" s="399">
        <v>-4241.6050868690845</v>
      </c>
      <c r="ED530" s="399"/>
      <c r="EE530" s="399">
        <v>0</v>
      </c>
      <c r="EF530" s="399">
        <v>0</v>
      </c>
      <c r="EG530" s="399"/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/>
      <c r="EN530" s="399"/>
      <c r="EO530" s="399">
        <v>0</v>
      </c>
      <c r="EP530" s="399">
        <v>0</v>
      </c>
      <c r="EQ530" s="399"/>
      <c r="ER530" s="399">
        <v>0</v>
      </c>
      <c r="ES530" s="399"/>
      <c r="ET530" s="399">
        <v>0</v>
      </c>
      <c r="EU530" s="399"/>
      <c r="EV530" s="399">
        <v>218</v>
      </c>
      <c r="EW530" s="399"/>
      <c r="EX530" s="399"/>
      <c r="EY530" s="399"/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531</v>
      </c>
      <c r="B531" s="399" t="s">
        <v>956</v>
      </c>
      <c r="C531" s="399" t="s">
        <v>2328</v>
      </c>
      <c r="D531" s="399" t="s">
        <v>1826</v>
      </c>
      <c r="E531" s="399" t="s">
        <v>918</v>
      </c>
      <c r="F531" s="399" t="s">
        <v>1239</v>
      </c>
      <c r="G531" s="399" t="s">
        <v>1239</v>
      </c>
      <c r="H531" s="399" t="s">
        <v>1239</v>
      </c>
      <c r="I531" s="399" t="s">
        <v>1239</v>
      </c>
      <c r="J531" s="399" t="s">
        <v>2329</v>
      </c>
      <c r="K531" s="789">
        <v>44743</v>
      </c>
      <c r="L531" s="399">
        <v>0</v>
      </c>
      <c r="M531" s="399">
        <v>0</v>
      </c>
      <c r="N531" s="399">
        <v>191.53</v>
      </c>
      <c r="O531" s="399">
        <v>191.53</v>
      </c>
      <c r="P531" s="399">
        <v>191.53</v>
      </c>
      <c r="Q531" s="399">
        <v>191.53</v>
      </c>
      <c r="R531" s="399"/>
      <c r="S531" s="399">
        <v>521.86</v>
      </c>
      <c r="T531" s="399">
        <v>141.32</v>
      </c>
      <c r="U531" s="399"/>
      <c r="V531" s="399">
        <v>127018.86540000001</v>
      </c>
      <c r="W531" s="399">
        <v>127018.86540000001</v>
      </c>
      <c r="X531" s="399">
        <v>99275.744900000005</v>
      </c>
      <c r="Y531" s="399">
        <v>0</v>
      </c>
      <c r="Z531" s="399">
        <v>11621.473948784633</v>
      </c>
      <c r="AA531" s="399">
        <v>0</v>
      </c>
      <c r="AB531" s="399">
        <v>0</v>
      </c>
      <c r="AC531" s="399">
        <v>0</v>
      </c>
      <c r="AD531" s="399">
        <v>20599.779739819838</v>
      </c>
      <c r="AE531" s="399">
        <v>62237.825739160406</v>
      </c>
      <c r="AF531" s="399">
        <v>27066.81466902628</v>
      </c>
      <c r="AG531" s="399">
        <v>0</v>
      </c>
      <c r="AH531" s="399">
        <v>0</v>
      </c>
      <c r="AI531" s="399">
        <v>0</v>
      </c>
      <c r="AJ531" s="399">
        <v>0</v>
      </c>
      <c r="AK531" s="399">
        <v>0</v>
      </c>
      <c r="AL531" s="399">
        <v>1796.932994598661</v>
      </c>
      <c r="AM531" s="399"/>
      <c r="AN531" s="399">
        <v>265.6265758861104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3429.3251160461978</v>
      </c>
      <c r="BH531" s="399">
        <v>0</v>
      </c>
      <c r="BI531" s="399">
        <v>666.57</v>
      </c>
      <c r="BJ531" s="399">
        <v>3090.94</v>
      </c>
      <c r="BK531" s="399">
        <v>20783.939999999999</v>
      </c>
      <c r="BL531" s="399">
        <v>586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30496.139785072479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99275.744900000005</v>
      </c>
      <c r="CJ531" s="399">
        <v>-27743.150499999989</v>
      </c>
      <c r="CK531" s="399"/>
      <c r="CL531" s="399"/>
      <c r="CM531" s="399"/>
      <c r="CN531" s="399"/>
      <c r="CO531" s="399">
        <v>-27743.120500000005</v>
      </c>
      <c r="CP531" s="399">
        <v>0</v>
      </c>
      <c r="CQ531" s="399">
        <v>31</v>
      </c>
      <c r="CR531" s="399">
        <v>-853.4073764192799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-98.110635890778212</v>
      </c>
      <c r="DA531" s="399">
        <v>0</v>
      </c>
      <c r="DB531" s="399">
        <v>0</v>
      </c>
      <c r="DC531" s="399">
        <v>0</v>
      </c>
      <c r="DD531" s="399">
        <v>0</v>
      </c>
      <c r="DE531" s="399">
        <v>0</v>
      </c>
      <c r="DF531" s="399">
        <v>0</v>
      </c>
      <c r="DG531" s="399">
        <v>0</v>
      </c>
      <c r="DH531" s="399">
        <v>0</v>
      </c>
      <c r="DI531" s="399">
        <v>-654.79639241935365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-89.789511618359711</v>
      </c>
      <c r="DP531" s="399">
        <v>-10.710836490786733</v>
      </c>
      <c r="DQ531" s="399">
        <v>0</v>
      </c>
      <c r="DR531" s="399">
        <v>0</v>
      </c>
      <c r="DS531" s="399"/>
      <c r="DT531" s="399"/>
      <c r="DU531" s="399"/>
      <c r="DV531" s="399">
        <v>62237.825739160406</v>
      </c>
      <c r="DW531" s="399">
        <v>0</v>
      </c>
      <c r="DX531" s="399">
        <v>0</v>
      </c>
      <c r="DY531" s="399">
        <v>-27743.120500000005</v>
      </c>
      <c r="DZ531" s="399">
        <v>0</v>
      </c>
      <c r="EA531" s="399">
        <v>0</v>
      </c>
      <c r="EB531" s="399">
        <v>0</v>
      </c>
      <c r="EC531" s="399">
        <v>-26887.947144937694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0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218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532</v>
      </c>
      <c r="B532" s="399" t="s">
        <v>2361</v>
      </c>
      <c r="C532" s="399" t="s">
        <v>2328</v>
      </c>
      <c r="D532" s="399" t="s">
        <v>1826</v>
      </c>
      <c r="E532" s="399" t="s">
        <v>918</v>
      </c>
      <c r="F532" s="399" t="s">
        <v>1239</v>
      </c>
      <c r="G532" s="399" t="s">
        <v>1239</v>
      </c>
      <c r="H532" s="399" t="s">
        <v>1239</v>
      </c>
      <c r="I532" s="399" t="s">
        <v>1239</v>
      </c>
      <c r="J532" s="399" t="s">
        <v>2329</v>
      </c>
      <c r="K532" s="789">
        <v>44743</v>
      </c>
      <c r="L532" s="399">
        <v>0</v>
      </c>
      <c r="M532" s="399">
        <v>0</v>
      </c>
      <c r="N532" s="399">
        <v>12.05</v>
      </c>
      <c r="O532" s="399">
        <v>12.05</v>
      </c>
      <c r="P532" s="399">
        <v>12.05</v>
      </c>
      <c r="Q532" s="399">
        <v>12.05</v>
      </c>
      <c r="R532" s="399"/>
      <c r="S532" s="399">
        <v>521.86</v>
      </c>
      <c r="T532" s="399">
        <v>141.32</v>
      </c>
      <c r="U532" s="399"/>
      <c r="V532" s="399">
        <v>7991.3190000000004</v>
      </c>
      <c r="W532" s="399">
        <v>7991.3190000000004</v>
      </c>
      <c r="X532" s="399">
        <v>6245.8765000000003</v>
      </c>
      <c r="Y532" s="399">
        <v>0</v>
      </c>
      <c r="Z532" s="399">
        <v>731.15836204696302</v>
      </c>
      <c r="AA532" s="399">
        <v>0</v>
      </c>
      <c r="AB532" s="399">
        <v>0</v>
      </c>
      <c r="AC532" s="399">
        <v>0</v>
      </c>
      <c r="AD532" s="399">
        <v>1296.0233167902106</v>
      </c>
      <c r="AE532" s="399">
        <v>3915.6570780393822</v>
      </c>
      <c r="AF532" s="399">
        <v>1702.8931068854315</v>
      </c>
      <c r="AG532" s="399">
        <v>0</v>
      </c>
      <c r="AH532" s="399">
        <v>0</v>
      </c>
      <c r="AI532" s="399">
        <v>0</v>
      </c>
      <c r="AJ532" s="399">
        <v>0</v>
      </c>
      <c r="AK532" s="399">
        <v>0</v>
      </c>
      <c r="AL532" s="399">
        <v>113.053007805116</v>
      </c>
      <c r="AM532" s="399"/>
      <c r="AN532" s="399">
        <v>16.711743535882789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215.75402103251025</v>
      </c>
      <c r="BH532" s="399">
        <v>0</v>
      </c>
      <c r="BI532" s="399">
        <v>41.91</v>
      </c>
      <c r="BJ532" s="399">
        <v>194.5</v>
      </c>
      <c r="BK532" s="399">
        <v>2977.6</v>
      </c>
      <c r="BL532" s="399">
        <v>36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1918.6471279179418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6245.8765000000003</v>
      </c>
      <c r="CJ532" s="399">
        <v>-1745.4725000000008</v>
      </c>
      <c r="CK532" s="399"/>
      <c r="CL532" s="399"/>
      <c r="CM532" s="399"/>
      <c r="CN532" s="399"/>
      <c r="CO532" s="399">
        <v>-1745.4425000000003</v>
      </c>
      <c r="CP532" s="399">
        <v>0</v>
      </c>
      <c r="CQ532" s="399">
        <v>31</v>
      </c>
      <c r="CR532" s="399">
        <v>-53.691635179096011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-6.1725743355289069</v>
      </c>
      <c r="DA532" s="399">
        <v>0</v>
      </c>
      <c r="DB532" s="399">
        <v>0</v>
      </c>
      <c r="DC532" s="399">
        <v>0</v>
      </c>
      <c r="DD532" s="399">
        <v>0</v>
      </c>
      <c r="DE532" s="399">
        <v>0</v>
      </c>
      <c r="DF532" s="399">
        <v>0</v>
      </c>
      <c r="DG532" s="399">
        <v>0</v>
      </c>
      <c r="DH532" s="399">
        <v>0</v>
      </c>
      <c r="DI532" s="399">
        <v>-41.196139135661269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-5.6490555787669621</v>
      </c>
      <c r="DP532" s="399">
        <v>-0.67386612913893629</v>
      </c>
      <c r="DQ532" s="399">
        <v>0</v>
      </c>
      <c r="DR532" s="399">
        <v>0</v>
      </c>
      <c r="DS532" s="399"/>
      <c r="DT532" s="399"/>
      <c r="DU532" s="399"/>
      <c r="DV532" s="399">
        <v>3915.6570780393822</v>
      </c>
      <c r="DW532" s="399">
        <v>0</v>
      </c>
      <c r="DX532" s="399">
        <v>0</v>
      </c>
      <c r="DY532" s="399">
        <v>-1745.4425000000001</v>
      </c>
      <c r="DZ532" s="399">
        <v>0</v>
      </c>
      <c r="EA532" s="399">
        <v>0</v>
      </c>
      <c r="EB532" s="399">
        <v>0</v>
      </c>
      <c r="EC532" s="399">
        <v>-1691.6397592883577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0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218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533</v>
      </c>
      <c r="B533" s="399" t="s">
        <v>956</v>
      </c>
      <c r="C533" s="399" t="s">
        <v>2334</v>
      </c>
      <c r="D533" s="399" t="s">
        <v>533</v>
      </c>
      <c r="E533" s="399" t="s">
        <v>918</v>
      </c>
      <c r="F533" s="399" t="s">
        <v>1239</v>
      </c>
      <c r="G533" s="399" t="s">
        <v>1239</v>
      </c>
      <c r="H533" s="399" t="s">
        <v>1239</v>
      </c>
      <c r="I533" s="399" t="s">
        <v>893</v>
      </c>
      <c r="J533" s="399" t="s">
        <v>2329</v>
      </c>
      <c r="K533" s="789">
        <v>44743</v>
      </c>
      <c r="L533" s="399">
        <v>0</v>
      </c>
      <c r="M533" s="399">
        <v>0</v>
      </c>
      <c r="N533" s="399">
        <v>2.5880000000000001</v>
      </c>
      <c r="O533" s="399">
        <v>2.5880000000000001</v>
      </c>
      <c r="P533" s="399">
        <v>2.5880000000000001</v>
      </c>
      <c r="Q533" s="399">
        <v>2.5880000000000001</v>
      </c>
      <c r="R533" s="399"/>
      <c r="S533" s="399">
        <v>2741.05</v>
      </c>
      <c r="T533" s="399">
        <v>141.32</v>
      </c>
      <c r="U533" s="399"/>
      <c r="V533" s="399">
        <v>7459.5735600000007</v>
      </c>
      <c r="W533" s="399">
        <v>7459.5735600000007</v>
      </c>
      <c r="X533" s="399">
        <v>5341.3214400000006</v>
      </c>
      <c r="Y533" s="399">
        <v>0</v>
      </c>
      <c r="Z533" s="399">
        <v>136.61800179671869</v>
      </c>
      <c r="AA533" s="399">
        <v>0</v>
      </c>
      <c r="AB533" s="399">
        <v>0</v>
      </c>
      <c r="AC533" s="399">
        <v>0</v>
      </c>
      <c r="AD533" s="399">
        <v>2053.7371079833001</v>
      </c>
      <c r="AE533" s="399">
        <v>4859.769010015908</v>
      </c>
      <c r="AF533" s="399">
        <v>365.73339092277979</v>
      </c>
      <c r="AG533" s="399">
        <v>0</v>
      </c>
      <c r="AH533" s="399">
        <v>0</v>
      </c>
      <c r="AI533" s="399">
        <v>0</v>
      </c>
      <c r="AJ533" s="399">
        <v>0</v>
      </c>
      <c r="AK533" s="399">
        <v>0</v>
      </c>
      <c r="AL533" s="399">
        <v>24.280596199140263</v>
      </c>
      <c r="AM533" s="399"/>
      <c r="AN533" s="399">
        <v>1.5547213633772123</v>
      </c>
      <c r="AO533" s="399">
        <v>0</v>
      </c>
      <c r="AP533" s="399">
        <v>0</v>
      </c>
      <c r="AQ533" s="399">
        <v>0</v>
      </c>
      <c r="AR533" s="399">
        <v>0</v>
      </c>
      <c r="AS533" s="399">
        <v>0</v>
      </c>
      <c r="AT533" s="399">
        <v>0</v>
      </c>
      <c r="AU533" s="399">
        <v>0</v>
      </c>
      <c r="AV533" s="399">
        <v>0</v>
      </c>
      <c r="AW533" s="399">
        <v>0</v>
      </c>
      <c r="AX533" s="399">
        <v>0</v>
      </c>
      <c r="AY533" s="399">
        <v>0</v>
      </c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>
        <v>0</v>
      </c>
      <c r="BG533" s="399">
        <v>17.890736403535069</v>
      </c>
      <c r="BH533" s="399">
        <v>0</v>
      </c>
      <c r="BI533" s="399">
        <v>0</v>
      </c>
      <c r="BJ533" s="399">
        <v>0</v>
      </c>
      <c r="BK533" s="399">
        <v>0</v>
      </c>
      <c r="BL533" s="399">
        <v>0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383.62412732631486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5345.4491999999991</v>
      </c>
      <c r="CJ533" s="399">
        <v>-2114.1543600000023</v>
      </c>
      <c r="CK533" s="399"/>
      <c r="CL533" s="399"/>
      <c r="CM533" s="399"/>
      <c r="CN533" s="399"/>
      <c r="CO533" s="399">
        <v>-2118.2521200000006</v>
      </c>
      <c r="CP533" s="399">
        <v>0</v>
      </c>
      <c r="CQ533" s="399">
        <v>31</v>
      </c>
      <c r="CR533" s="399">
        <v>-18.754847258198424</v>
      </c>
      <c r="CS533" s="399">
        <v>0</v>
      </c>
      <c r="CT533" s="399">
        <v>0</v>
      </c>
      <c r="CU533" s="399">
        <v>0</v>
      </c>
      <c r="CV533" s="399">
        <v>0</v>
      </c>
      <c r="CW533" s="399">
        <v>0</v>
      </c>
      <c r="CX533" s="399">
        <v>0</v>
      </c>
      <c r="CY533" s="399">
        <v>0</v>
      </c>
      <c r="CZ533" s="399">
        <v>-9.7813401969222014</v>
      </c>
      <c r="DA533" s="399">
        <v>0</v>
      </c>
      <c r="DB533" s="399">
        <v>0</v>
      </c>
      <c r="DC533" s="399">
        <v>0</v>
      </c>
      <c r="DD533" s="399">
        <v>0</v>
      </c>
      <c r="DE533" s="399">
        <v>0</v>
      </c>
      <c r="DF533" s="399">
        <v>0</v>
      </c>
      <c r="DG533" s="399">
        <v>0</v>
      </c>
      <c r="DH533" s="399">
        <v>0</v>
      </c>
      <c r="DI533" s="399">
        <v>-7.6975584259163838</v>
      </c>
      <c r="DJ533" s="399"/>
      <c r="DK533" s="399">
        <v>0</v>
      </c>
      <c r="DL533" s="399">
        <v>0</v>
      </c>
      <c r="DM533" s="399">
        <v>0</v>
      </c>
      <c r="DN533" s="399">
        <v>0</v>
      </c>
      <c r="DO533" s="399">
        <v>-1.2132577458795737</v>
      </c>
      <c r="DP533" s="399">
        <v>-6.2690889480155221E-2</v>
      </c>
      <c r="DQ533" s="399">
        <v>0</v>
      </c>
      <c r="DR533" s="399">
        <v>0</v>
      </c>
      <c r="DS533" s="399"/>
      <c r="DT533" s="399"/>
      <c r="DU533" s="399"/>
      <c r="DV533" s="399">
        <v>4859.769010015908</v>
      </c>
      <c r="DW533" s="399">
        <v>0</v>
      </c>
      <c r="DX533" s="399">
        <v>0</v>
      </c>
      <c r="DY533" s="399">
        <v>-2118.2521200000001</v>
      </c>
      <c r="DZ533" s="399">
        <v>0</v>
      </c>
      <c r="EA533" s="399">
        <v>0</v>
      </c>
      <c r="EB533" s="399">
        <v>0</v>
      </c>
      <c r="EC533" s="399">
        <v>-2099.5144146832981</v>
      </c>
      <c r="ED533" s="399">
        <v>0</v>
      </c>
      <c r="EE533" s="399">
        <v>0</v>
      </c>
      <c r="EF533" s="399">
        <v>0</v>
      </c>
      <c r="EG533" s="399">
        <v>0</v>
      </c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>
        <v>0</v>
      </c>
      <c r="EN533" s="399">
        <v>0</v>
      </c>
      <c r="EO533" s="399">
        <v>0</v>
      </c>
      <c r="EP533" s="399">
        <v>0</v>
      </c>
      <c r="EQ533" s="399">
        <v>0</v>
      </c>
      <c r="ER533" s="399">
        <v>0</v>
      </c>
      <c r="ES533" s="399">
        <v>0</v>
      </c>
      <c r="ET533" s="399">
        <v>0</v>
      </c>
      <c r="EU533" s="399">
        <v>0</v>
      </c>
      <c r="EV533" s="399">
        <v>218</v>
      </c>
      <c r="EW533" s="399">
        <v>0</v>
      </c>
      <c r="EX533" s="399">
        <v>0</v>
      </c>
      <c r="EY533" s="399">
        <v>0</v>
      </c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534</v>
      </c>
      <c r="B534" s="399" t="s">
        <v>956</v>
      </c>
      <c r="C534" s="399" t="s">
        <v>2334</v>
      </c>
      <c r="D534" s="399" t="s">
        <v>533</v>
      </c>
      <c r="E534" s="399" t="s">
        <v>918</v>
      </c>
      <c r="F534" s="399" t="s">
        <v>1239</v>
      </c>
      <c r="G534" s="399" t="s">
        <v>1239</v>
      </c>
      <c r="H534" s="399" t="s">
        <v>1239</v>
      </c>
      <c r="I534" s="399" t="s">
        <v>2326</v>
      </c>
      <c r="J534" s="399" t="s">
        <v>2329</v>
      </c>
      <c r="K534" s="789">
        <v>44743</v>
      </c>
      <c r="L534" s="399">
        <v>0</v>
      </c>
      <c r="M534" s="399">
        <v>0</v>
      </c>
      <c r="N534" s="399">
        <v>41.357999999999997</v>
      </c>
      <c r="O534" s="399">
        <v>41.357999999999997</v>
      </c>
      <c r="P534" s="399">
        <v>41.357999999999997</v>
      </c>
      <c r="Q534" s="399">
        <v>41.357999999999997</v>
      </c>
      <c r="R534" s="399"/>
      <c r="S534" s="399">
        <v>69.680000000000007</v>
      </c>
      <c r="T534" s="399">
        <v>141.32</v>
      </c>
      <c r="U534" s="399"/>
      <c r="V534" s="399">
        <v>8726.5379999999986</v>
      </c>
      <c r="W534" s="399">
        <v>8726.5379999999986</v>
      </c>
      <c r="X534" s="399">
        <v>8583.4393199999977</v>
      </c>
      <c r="Y534" s="399">
        <v>0</v>
      </c>
      <c r="Z534" s="399">
        <v>2183.2485773990306</v>
      </c>
      <c r="AA534" s="399">
        <v>0</v>
      </c>
      <c r="AB534" s="399">
        <v>0</v>
      </c>
      <c r="AC534" s="399">
        <v>0</v>
      </c>
      <c r="AD534" s="399">
        <v>0</v>
      </c>
      <c r="AE534" s="399">
        <v>0</v>
      </c>
      <c r="AF534" s="399">
        <v>5844.668308262877</v>
      </c>
      <c r="AG534" s="399">
        <v>0</v>
      </c>
      <c r="AH534" s="399">
        <v>0</v>
      </c>
      <c r="AI534" s="399">
        <v>0</v>
      </c>
      <c r="AJ534" s="399">
        <v>0</v>
      </c>
      <c r="AK534" s="399">
        <v>0</v>
      </c>
      <c r="AL534" s="399">
        <v>388.02043956879555</v>
      </c>
      <c r="AM534" s="399"/>
      <c r="AN534" s="399">
        <v>24.84550469341373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285.90613453531813</v>
      </c>
      <c r="BH534" s="399">
        <v>0</v>
      </c>
      <c r="BI534" s="399">
        <v>0</v>
      </c>
      <c r="BJ534" s="399">
        <v>0</v>
      </c>
      <c r="BK534" s="399">
        <v>0</v>
      </c>
      <c r="BL534" s="399">
        <v>0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6130.5744427981954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8583.8544000000002</v>
      </c>
      <c r="CJ534" s="399">
        <v>-142.71359999999913</v>
      </c>
      <c r="CK534" s="399"/>
      <c r="CL534" s="399"/>
      <c r="CM534" s="399"/>
      <c r="CN534" s="399"/>
      <c r="CO534" s="399">
        <v>-143.09868000000031</v>
      </c>
      <c r="CP534" s="399">
        <v>0</v>
      </c>
      <c r="CQ534" s="399">
        <v>31</v>
      </c>
      <c r="CR534" s="399">
        <v>-143.4027453787694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0</v>
      </c>
      <c r="DA534" s="399">
        <v>0</v>
      </c>
      <c r="DB534" s="399">
        <v>0</v>
      </c>
      <c r="DC534" s="399">
        <v>0</v>
      </c>
      <c r="DD534" s="399">
        <v>0</v>
      </c>
      <c r="DE534" s="399">
        <v>0</v>
      </c>
      <c r="DF534" s="399">
        <v>0</v>
      </c>
      <c r="DG534" s="399">
        <v>0</v>
      </c>
      <c r="DH534" s="399">
        <v>0</v>
      </c>
      <c r="DI534" s="399">
        <v>-123.01221846176577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-19.38868386943102</v>
      </c>
      <c r="DP534" s="399">
        <v>-1.0018430475735158</v>
      </c>
      <c r="DQ534" s="399">
        <v>0</v>
      </c>
      <c r="DR534" s="399">
        <v>0</v>
      </c>
      <c r="DS534" s="399"/>
      <c r="DT534" s="399"/>
      <c r="DU534" s="399"/>
      <c r="DV534" s="399">
        <v>0</v>
      </c>
      <c r="DW534" s="399">
        <v>0</v>
      </c>
      <c r="DX534" s="399">
        <v>0</v>
      </c>
      <c r="DY534" s="399">
        <v>-143.09868000000051</v>
      </c>
      <c r="DZ534" s="399">
        <v>0</v>
      </c>
      <c r="EA534" s="399">
        <v>0</v>
      </c>
      <c r="EB534" s="399">
        <v>0</v>
      </c>
      <c r="EC534" s="399">
        <v>0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218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535</v>
      </c>
      <c r="B535" s="399" t="s">
        <v>956</v>
      </c>
      <c r="C535" s="399" t="s">
        <v>2334</v>
      </c>
      <c r="D535" s="399" t="s">
        <v>533</v>
      </c>
      <c r="E535" s="399" t="s">
        <v>918</v>
      </c>
      <c r="F535" s="399" t="s">
        <v>1239</v>
      </c>
      <c r="G535" s="399" t="s">
        <v>1239</v>
      </c>
      <c r="H535" s="399" t="s">
        <v>1239</v>
      </c>
      <c r="I535" s="399" t="s">
        <v>1239</v>
      </c>
      <c r="J535" s="399" t="s">
        <v>2329</v>
      </c>
      <c r="K535" s="789">
        <v>44743</v>
      </c>
      <c r="L535" s="399">
        <v>359</v>
      </c>
      <c r="M535" s="399">
        <v>359</v>
      </c>
      <c r="N535" s="399">
        <v>0</v>
      </c>
      <c r="O535" s="399">
        <v>0</v>
      </c>
      <c r="P535" s="399">
        <v>0</v>
      </c>
      <c r="Q535" s="399">
        <v>0</v>
      </c>
      <c r="R535" s="399">
        <v>35.15</v>
      </c>
      <c r="S535" s="399"/>
      <c r="T535" s="399"/>
      <c r="U535" s="399">
        <v>12618.85</v>
      </c>
      <c r="V535" s="399"/>
      <c r="W535" s="399">
        <v>12618.85</v>
      </c>
      <c r="X535" s="399">
        <v>9211.94</v>
      </c>
      <c r="Y535" s="399">
        <v>0</v>
      </c>
      <c r="Z535" s="399">
        <v>0</v>
      </c>
      <c r="AA535" s="399">
        <v>0</v>
      </c>
      <c r="AB535" s="399">
        <v>0</v>
      </c>
      <c r="AC535" s="399">
        <v>0</v>
      </c>
      <c r="AD535" s="399">
        <v>4785.9630120164393</v>
      </c>
      <c r="AE535" s="399">
        <v>7832.653822440705</v>
      </c>
      <c r="AF535" s="399"/>
      <c r="AG535" s="399"/>
      <c r="AH535" s="399"/>
      <c r="AI535" s="399">
        <v>0</v>
      </c>
      <c r="AJ535" s="399">
        <v>0</v>
      </c>
      <c r="AK535" s="399">
        <v>0</v>
      </c>
      <c r="AL535" s="399">
        <v>0</v>
      </c>
      <c r="AM535" s="399"/>
      <c r="AN535" s="399">
        <v>0</v>
      </c>
      <c r="AO535" s="399">
        <v>0</v>
      </c>
      <c r="AP535" s="399">
        <v>0</v>
      </c>
      <c r="AQ535" s="399">
        <v>0</v>
      </c>
      <c r="AR535" s="399">
        <v>0</v>
      </c>
      <c r="AS535" s="399"/>
      <c r="AT535" s="399"/>
      <c r="AU535" s="399">
        <v>0</v>
      </c>
      <c r="AV535" s="399">
        <v>0</v>
      </c>
      <c r="AW535" s="399">
        <v>0</v>
      </c>
      <c r="AX535" s="399"/>
      <c r="AY535" s="399"/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/>
      <c r="BG535" s="399">
        <v>0</v>
      </c>
      <c r="BH535" s="399">
        <v>0</v>
      </c>
      <c r="BI535" s="399">
        <v>176.49</v>
      </c>
      <c r="BJ535" s="399">
        <v>814.68</v>
      </c>
      <c r="BK535" s="399">
        <v>5512.9</v>
      </c>
      <c r="BL535" s="399">
        <v>3</v>
      </c>
      <c r="BM535" s="399"/>
      <c r="BN535" s="399"/>
      <c r="BO535" s="399"/>
      <c r="BP535" s="399"/>
      <c r="BQ535" s="399"/>
      <c r="BR535" s="399"/>
      <c r="BS535" s="399"/>
      <c r="BT535" s="399"/>
      <c r="BU535" s="399"/>
      <c r="BV535" s="399">
        <v>0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9211.94</v>
      </c>
      <c r="CJ535" s="399">
        <v>-3406.9400000000005</v>
      </c>
      <c r="CK535" s="399"/>
      <c r="CL535" s="399"/>
      <c r="CM535" s="399"/>
      <c r="CN535" s="399"/>
      <c r="CO535" s="399">
        <v>-3406.9099999999994</v>
      </c>
      <c r="CP535" s="399">
        <v>0</v>
      </c>
      <c r="CQ535" s="399">
        <v>31</v>
      </c>
      <c r="CR535" s="399">
        <v>-22.794121121143689</v>
      </c>
      <c r="CS535" s="399">
        <v>0</v>
      </c>
      <c r="CT535" s="399">
        <v>0</v>
      </c>
      <c r="CU535" s="399">
        <v>0</v>
      </c>
      <c r="CV535" s="399">
        <v>0</v>
      </c>
      <c r="CW535" s="399"/>
      <c r="CX535" s="399"/>
      <c r="CY535" s="399"/>
      <c r="CZ535" s="399">
        <v>-22.794121121143689</v>
      </c>
      <c r="DA535" s="399">
        <v>0</v>
      </c>
      <c r="DB535" s="399">
        <v>0</v>
      </c>
      <c r="DC535" s="399"/>
      <c r="DD535" s="399"/>
      <c r="DE535" s="399">
        <v>0</v>
      </c>
      <c r="DF535" s="399">
        <v>0</v>
      </c>
      <c r="DG535" s="399">
        <v>0</v>
      </c>
      <c r="DH535" s="399">
        <v>0</v>
      </c>
      <c r="DI535" s="399">
        <v>0</v>
      </c>
      <c r="DJ535" s="399"/>
      <c r="DK535" s="399">
        <v>0</v>
      </c>
      <c r="DL535" s="399">
        <v>0</v>
      </c>
      <c r="DM535" s="399"/>
      <c r="DN535" s="399">
        <v>0</v>
      </c>
      <c r="DO535" s="399">
        <v>0</v>
      </c>
      <c r="DP535" s="399">
        <v>0</v>
      </c>
      <c r="DQ535" s="399">
        <v>0</v>
      </c>
      <c r="DR535" s="399">
        <v>0</v>
      </c>
      <c r="DS535" s="399"/>
      <c r="DT535" s="399"/>
      <c r="DU535" s="399">
        <v>7832.653822440705</v>
      </c>
      <c r="DV535" s="399"/>
      <c r="DW535" s="399">
        <v>0</v>
      </c>
      <c r="DX535" s="399">
        <v>0</v>
      </c>
      <c r="DY535" s="399">
        <v>-3406.91</v>
      </c>
      <c r="DZ535" s="399"/>
      <c r="EA535" s="399">
        <v>0</v>
      </c>
      <c r="EB535" s="399"/>
      <c r="EC535" s="399">
        <v>-3383.8582804133375</v>
      </c>
      <c r="ED535" s="399"/>
      <c r="EE535" s="399">
        <v>0</v>
      </c>
      <c r="EF535" s="399">
        <v>0</v>
      </c>
      <c r="EG535" s="399"/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/>
      <c r="EN535" s="399"/>
      <c r="EO535" s="399">
        <v>0</v>
      </c>
      <c r="EP535" s="399">
        <v>0</v>
      </c>
      <c r="EQ535" s="399"/>
      <c r="ER535" s="399">
        <v>0</v>
      </c>
      <c r="ES535" s="399"/>
      <c r="ET535" s="399">
        <v>0</v>
      </c>
      <c r="EU535" s="399"/>
      <c r="EV535" s="399">
        <v>218</v>
      </c>
      <c r="EW535" s="399"/>
      <c r="EX535" s="399"/>
      <c r="EY535" s="399"/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536</v>
      </c>
      <c r="B536" s="399" t="s">
        <v>956</v>
      </c>
      <c r="C536" s="399" t="s">
        <v>2328</v>
      </c>
      <c r="D536" s="399" t="s">
        <v>2335</v>
      </c>
      <c r="E536" s="399" t="s">
        <v>894</v>
      </c>
      <c r="F536" s="399" t="s">
        <v>1239</v>
      </c>
      <c r="G536" s="399" t="s">
        <v>1239</v>
      </c>
      <c r="H536" s="399" t="s">
        <v>1239</v>
      </c>
      <c r="I536" s="399" t="s">
        <v>1239</v>
      </c>
      <c r="J536" s="399" t="s">
        <v>2329</v>
      </c>
      <c r="K536" s="789">
        <v>44743</v>
      </c>
      <c r="L536" s="399">
        <v>0</v>
      </c>
      <c r="M536" s="399">
        <v>0</v>
      </c>
      <c r="N536" s="399">
        <v>2482.971</v>
      </c>
      <c r="O536" s="399">
        <v>2482.971</v>
      </c>
      <c r="P536" s="399">
        <v>2482.971</v>
      </c>
      <c r="Q536" s="399">
        <v>2482.971</v>
      </c>
      <c r="R536" s="399"/>
      <c r="S536" s="399">
        <v>521.86</v>
      </c>
      <c r="T536" s="399">
        <v>141.32</v>
      </c>
      <c r="U536" s="399"/>
      <c r="V536" s="399">
        <v>1646656.7077800001</v>
      </c>
      <c r="W536" s="399">
        <v>1646656.7077800001</v>
      </c>
      <c r="X536" s="399">
        <v>1286998.35843</v>
      </c>
      <c r="Y536" s="399">
        <v>0</v>
      </c>
      <c r="Z536" s="399">
        <v>150659.33687718754</v>
      </c>
      <c r="AA536" s="399">
        <v>0</v>
      </c>
      <c r="AB536" s="399">
        <v>0</v>
      </c>
      <c r="AC536" s="399">
        <v>0</v>
      </c>
      <c r="AD536" s="399">
        <v>267052.97186007519</v>
      </c>
      <c r="AE536" s="399">
        <v>806843.40005946252</v>
      </c>
      <c r="AF536" s="399">
        <v>350890.80502045032</v>
      </c>
      <c r="AG536" s="399">
        <v>0</v>
      </c>
      <c r="AH536" s="399">
        <v>0</v>
      </c>
      <c r="AI536" s="399">
        <v>0</v>
      </c>
      <c r="AJ536" s="399">
        <v>0</v>
      </c>
      <c r="AK536" s="399">
        <v>0</v>
      </c>
      <c r="AL536" s="399">
        <v>23295.214924720054</v>
      </c>
      <c r="AM536" s="399"/>
      <c r="AN536" s="399">
        <v>3443.5497559364662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44457.342519262485</v>
      </c>
      <c r="BH536" s="399">
        <v>0</v>
      </c>
      <c r="BI536" s="399">
        <v>8655.2199999999993</v>
      </c>
      <c r="BJ536" s="399">
        <v>40077.83</v>
      </c>
      <c r="BK536" s="399">
        <v>218579.07</v>
      </c>
      <c r="BL536" s="399">
        <v>5517</v>
      </c>
      <c r="BM536" s="399"/>
      <c r="BN536" s="399"/>
      <c r="BO536" s="399"/>
      <c r="BP536" s="399"/>
      <c r="BQ536" s="399"/>
      <c r="BR536" s="399">
        <v>154440.79620000001</v>
      </c>
      <c r="BS536" s="399"/>
      <c r="BT536" s="399"/>
      <c r="BU536" s="399"/>
      <c r="BV536" s="399">
        <v>395348.14753971284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1132557.1061</v>
      </c>
      <c r="CJ536" s="399">
        <v>-316479.96979000024</v>
      </c>
      <c r="CK536" s="399"/>
      <c r="CL536" s="399"/>
      <c r="CM536" s="399"/>
      <c r="CN536" s="399"/>
      <c r="CO536" s="399">
        <v>-359658.34935000003</v>
      </c>
      <c r="CP536" s="399">
        <v>0</v>
      </c>
      <c r="CQ536" s="399">
        <v>31</v>
      </c>
      <c r="CR536" s="399">
        <v>-11063.466646661866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-1271.8940307438024</v>
      </c>
      <c r="DA536" s="399">
        <v>0</v>
      </c>
      <c r="DB536" s="399">
        <v>0</v>
      </c>
      <c r="DC536" s="399">
        <v>0</v>
      </c>
      <c r="DD536" s="399">
        <v>0</v>
      </c>
      <c r="DE536" s="399">
        <v>0</v>
      </c>
      <c r="DF536" s="399">
        <v>0</v>
      </c>
      <c r="DG536" s="399">
        <v>0</v>
      </c>
      <c r="DH536" s="399">
        <v>0</v>
      </c>
      <c r="DI536" s="399">
        <v>-8488.6986544242245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-1164.0200148934928</v>
      </c>
      <c r="DP536" s="399">
        <v>-138.85394660035081</v>
      </c>
      <c r="DQ536" s="399">
        <v>0</v>
      </c>
      <c r="DR536" s="399">
        <v>0</v>
      </c>
      <c r="DS536" s="399"/>
      <c r="DT536" s="399"/>
      <c r="DU536" s="399"/>
      <c r="DV536" s="399">
        <v>806843.40005946252</v>
      </c>
      <c r="DW536" s="399">
        <v>0</v>
      </c>
      <c r="DX536" s="399">
        <v>0</v>
      </c>
      <c r="DY536" s="399">
        <v>-359658.34935000003</v>
      </c>
      <c r="DZ536" s="399">
        <v>0</v>
      </c>
      <c r="EA536" s="399">
        <v>0</v>
      </c>
      <c r="EB536" s="399">
        <v>0</v>
      </c>
      <c r="EC536" s="399">
        <v>-348571.98877676128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0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218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537</v>
      </c>
      <c r="B537" s="399" t="s">
        <v>2360</v>
      </c>
      <c r="C537" s="399" t="s">
        <v>2328</v>
      </c>
      <c r="D537" s="399" t="s">
        <v>2335</v>
      </c>
      <c r="E537" s="399" t="s">
        <v>894</v>
      </c>
      <c r="F537" s="399" t="s">
        <v>1239</v>
      </c>
      <c r="G537" s="399" t="s">
        <v>1239</v>
      </c>
      <c r="H537" s="399" t="s">
        <v>1239</v>
      </c>
      <c r="I537" s="399" t="s">
        <v>1239</v>
      </c>
      <c r="J537" s="399" t="s">
        <v>2329</v>
      </c>
      <c r="K537" s="789">
        <v>44743</v>
      </c>
      <c r="L537" s="399">
        <v>0</v>
      </c>
      <c r="M537" s="399">
        <v>0</v>
      </c>
      <c r="N537" s="399">
        <v>-0.66100000000000003</v>
      </c>
      <c r="O537" s="399">
        <v>-0.66100000000000003</v>
      </c>
      <c r="P537" s="399">
        <v>-0.66100000000000003</v>
      </c>
      <c r="Q537" s="399">
        <v>-0.66100000000000003</v>
      </c>
      <c r="R537" s="399"/>
      <c r="S537" s="399">
        <v>521.86</v>
      </c>
      <c r="T537" s="399">
        <v>141.32</v>
      </c>
      <c r="U537" s="399"/>
      <c r="V537" s="399">
        <v>-438.36198000000002</v>
      </c>
      <c r="W537" s="399">
        <v>-438.36198000000002</v>
      </c>
      <c r="X537" s="399">
        <v>-342.61613</v>
      </c>
      <c r="Y537" s="399">
        <v>0</v>
      </c>
      <c r="Z537" s="399">
        <v>-40.107525088219298</v>
      </c>
      <c r="AA537" s="399">
        <v>0</v>
      </c>
      <c r="AB537" s="399">
        <v>0</v>
      </c>
      <c r="AC537" s="399">
        <v>0</v>
      </c>
      <c r="AD537" s="399">
        <v>-71.093063269570891</v>
      </c>
      <c r="AE537" s="399">
        <v>-214.79247540116447</v>
      </c>
      <c r="AF537" s="399">
        <v>-93.411812751142762</v>
      </c>
      <c r="AG537" s="399">
        <v>0</v>
      </c>
      <c r="AH537" s="399">
        <v>0</v>
      </c>
      <c r="AI537" s="399">
        <v>0</v>
      </c>
      <c r="AJ537" s="399">
        <v>0</v>
      </c>
      <c r="AK537" s="399">
        <v>0</v>
      </c>
      <c r="AL537" s="399">
        <v>-6.2014969426706781</v>
      </c>
      <c r="AM537" s="399"/>
      <c r="AN537" s="399">
        <v>-0.91671887777747074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-11.83513758526882</v>
      </c>
      <c r="BH537" s="399">
        <v>0</v>
      </c>
      <c r="BI537" s="399">
        <v>-2.3199999999999998</v>
      </c>
      <c r="BJ537" s="399">
        <v>-10.65</v>
      </c>
      <c r="BK537" s="399">
        <v>-58.34</v>
      </c>
      <c r="BL537" s="399">
        <v>0</v>
      </c>
      <c r="BM537" s="399"/>
      <c r="BN537" s="399"/>
      <c r="BO537" s="399"/>
      <c r="BP537" s="399"/>
      <c r="BQ537" s="399"/>
      <c r="BR537" s="399">
        <v>-41.114200000000004</v>
      </c>
      <c r="BS537" s="399"/>
      <c r="BT537" s="399"/>
      <c r="BU537" s="399"/>
      <c r="BV537" s="399">
        <v>-105.24695033641159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-301.04579999999999</v>
      </c>
      <c r="CJ537" s="399">
        <v>84.677190000000053</v>
      </c>
      <c r="CK537" s="399"/>
      <c r="CL537" s="399"/>
      <c r="CM537" s="399"/>
      <c r="CN537" s="399"/>
      <c r="CO537" s="399">
        <v>95.745850000000019</v>
      </c>
      <c r="CP537" s="399">
        <v>0</v>
      </c>
      <c r="CQ537" s="399">
        <v>31</v>
      </c>
      <c r="CR537" s="399">
        <v>2.9452423944715918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0.33859515649665184</v>
      </c>
      <c r="DA537" s="399">
        <v>0</v>
      </c>
      <c r="DB537" s="399">
        <v>0</v>
      </c>
      <c r="DC537" s="399">
        <v>0</v>
      </c>
      <c r="DD537" s="399">
        <v>0</v>
      </c>
      <c r="DE537" s="399">
        <v>0</v>
      </c>
      <c r="DF537" s="399">
        <v>0</v>
      </c>
      <c r="DG537" s="399">
        <v>0</v>
      </c>
      <c r="DH537" s="399">
        <v>0</v>
      </c>
      <c r="DI537" s="399">
        <v>2.2598048106781832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0.30987765456970617</v>
      </c>
      <c r="DP537" s="399">
        <v>3.696477272704024E-2</v>
      </c>
      <c r="DQ537" s="399">
        <v>0</v>
      </c>
      <c r="DR537" s="399">
        <v>0</v>
      </c>
      <c r="DS537" s="399"/>
      <c r="DT537" s="399"/>
      <c r="DU537" s="399"/>
      <c r="DV537" s="399">
        <v>-214.79247540116447</v>
      </c>
      <c r="DW537" s="399">
        <v>0</v>
      </c>
      <c r="DX537" s="399">
        <v>0</v>
      </c>
      <c r="DY537" s="399">
        <v>95.745850000000047</v>
      </c>
      <c r="DZ537" s="399">
        <v>0</v>
      </c>
      <c r="EA537" s="399">
        <v>0</v>
      </c>
      <c r="EB537" s="399">
        <v>0</v>
      </c>
      <c r="EC537" s="399">
        <v>92.794512936896652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218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538</v>
      </c>
      <c r="B538" s="399" t="s">
        <v>2361</v>
      </c>
      <c r="C538" s="399" t="s">
        <v>2328</v>
      </c>
      <c r="D538" s="399" t="s">
        <v>2335</v>
      </c>
      <c r="E538" s="399" t="s">
        <v>894</v>
      </c>
      <c r="F538" s="399" t="s">
        <v>1239</v>
      </c>
      <c r="G538" s="399" t="s">
        <v>1239</v>
      </c>
      <c r="H538" s="399" t="s">
        <v>1239</v>
      </c>
      <c r="I538" s="399" t="s">
        <v>1239</v>
      </c>
      <c r="J538" s="399" t="s">
        <v>2329</v>
      </c>
      <c r="K538" s="789">
        <v>44743</v>
      </c>
      <c r="L538" s="399">
        <v>0</v>
      </c>
      <c r="M538" s="399">
        <v>0</v>
      </c>
      <c r="N538" s="399">
        <v>319.28100000000001</v>
      </c>
      <c r="O538" s="399">
        <v>319.28100000000001</v>
      </c>
      <c r="P538" s="399">
        <v>319.28100000000001</v>
      </c>
      <c r="Q538" s="399">
        <v>319.28100000000001</v>
      </c>
      <c r="R538" s="399"/>
      <c r="S538" s="399">
        <v>521.86</v>
      </c>
      <c r="T538" s="399">
        <v>141.32</v>
      </c>
      <c r="U538" s="399"/>
      <c r="V538" s="399">
        <v>211740.77358000001</v>
      </c>
      <c r="W538" s="399">
        <v>211740.77358000001</v>
      </c>
      <c r="X538" s="399">
        <v>165492.92073000001</v>
      </c>
      <c r="Y538" s="399">
        <v>0</v>
      </c>
      <c r="Z538" s="399">
        <v>19373.026804374804</v>
      </c>
      <c r="AA538" s="399">
        <v>0</v>
      </c>
      <c r="AB538" s="399">
        <v>0</v>
      </c>
      <c r="AC538" s="399">
        <v>0</v>
      </c>
      <c r="AD538" s="399">
        <v>34339.885527642757</v>
      </c>
      <c r="AE538" s="399">
        <v>103750.61473306987</v>
      </c>
      <c r="AF538" s="399">
        <v>45120.449299542524</v>
      </c>
      <c r="AG538" s="399">
        <v>0</v>
      </c>
      <c r="AH538" s="399">
        <v>0</v>
      </c>
      <c r="AI538" s="399">
        <v>0</v>
      </c>
      <c r="AJ538" s="399">
        <v>0</v>
      </c>
      <c r="AK538" s="399">
        <v>0</v>
      </c>
      <c r="AL538" s="399">
        <v>2995.4918991722188</v>
      </c>
      <c r="AM538" s="399"/>
      <c r="AN538" s="399">
        <v>442.80018156682092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5716.693741849037</v>
      </c>
      <c r="BH538" s="399">
        <v>0</v>
      </c>
      <c r="BI538" s="399">
        <v>1117.3399999999999</v>
      </c>
      <c r="BJ538" s="399">
        <v>5175.3900000000003</v>
      </c>
      <c r="BK538" s="399">
        <v>75717.350000000006</v>
      </c>
      <c r="BL538" s="399">
        <v>640</v>
      </c>
      <c r="BM538" s="399"/>
      <c r="BN538" s="399"/>
      <c r="BO538" s="399"/>
      <c r="BP538" s="399"/>
      <c r="BQ538" s="399"/>
      <c r="BR538" s="399">
        <v>19859.278200000001</v>
      </c>
      <c r="BS538" s="399"/>
      <c r="BT538" s="399"/>
      <c r="BU538" s="399"/>
      <c r="BV538" s="399">
        <v>50837.143041391559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145633.18639999998</v>
      </c>
      <c r="CJ538" s="399">
        <v>-40696.042390000046</v>
      </c>
      <c r="CK538" s="399"/>
      <c r="CL538" s="399"/>
      <c r="CM538" s="399"/>
      <c r="CN538" s="399"/>
      <c r="CO538" s="399">
        <v>-46247.85285000001</v>
      </c>
      <c r="CP538" s="399">
        <v>0</v>
      </c>
      <c r="CQ538" s="399">
        <v>31</v>
      </c>
      <c r="CR538" s="399">
        <v>-1422.6322798022447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-163.55068103087251</v>
      </c>
      <c r="DA538" s="399">
        <v>0</v>
      </c>
      <c r="DB538" s="399">
        <v>0</v>
      </c>
      <c r="DC538" s="399">
        <v>0</v>
      </c>
      <c r="DD538" s="399">
        <v>0</v>
      </c>
      <c r="DE538" s="399">
        <v>0</v>
      </c>
      <c r="DF538" s="399">
        <v>0</v>
      </c>
      <c r="DG538" s="399">
        <v>0</v>
      </c>
      <c r="DH538" s="399">
        <v>0</v>
      </c>
      <c r="DI538" s="399">
        <v>-1091.547261358759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-149.67934558043908</v>
      </c>
      <c r="DP538" s="399">
        <v>-17.854991832166661</v>
      </c>
      <c r="DQ538" s="399">
        <v>0</v>
      </c>
      <c r="DR538" s="399">
        <v>0</v>
      </c>
      <c r="DS538" s="399"/>
      <c r="DT538" s="399"/>
      <c r="DU538" s="399"/>
      <c r="DV538" s="399">
        <v>103750.61473306987</v>
      </c>
      <c r="DW538" s="399">
        <v>0</v>
      </c>
      <c r="DX538" s="399">
        <v>0</v>
      </c>
      <c r="DY538" s="399">
        <v>-46247.85285000001</v>
      </c>
      <c r="DZ538" s="399">
        <v>0</v>
      </c>
      <c r="EA538" s="399">
        <v>0</v>
      </c>
      <c r="EB538" s="399">
        <v>0</v>
      </c>
      <c r="EC538" s="399">
        <v>-44822.276679281837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0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218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539</v>
      </c>
      <c r="B539" s="399" t="s">
        <v>956</v>
      </c>
      <c r="C539" s="399" t="s">
        <v>2334</v>
      </c>
      <c r="D539" s="399" t="s">
        <v>533</v>
      </c>
      <c r="E539" s="399" t="s">
        <v>894</v>
      </c>
      <c r="F539" s="399" t="s">
        <v>1239</v>
      </c>
      <c r="G539" s="399" t="s">
        <v>1239</v>
      </c>
      <c r="H539" s="399" t="s">
        <v>1239</v>
      </c>
      <c r="I539" s="399" t="s">
        <v>893</v>
      </c>
      <c r="J539" s="399" t="s">
        <v>2329</v>
      </c>
      <c r="K539" s="789">
        <v>44743</v>
      </c>
      <c r="L539" s="399">
        <v>0</v>
      </c>
      <c r="M539" s="399">
        <v>0</v>
      </c>
      <c r="N539" s="399">
        <v>0.11899999999999999</v>
      </c>
      <c r="O539" s="399">
        <v>0.11423999999999999</v>
      </c>
      <c r="P539" s="399">
        <v>0.11899999999999999</v>
      </c>
      <c r="Q539" s="399">
        <v>0.11423999999999999</v>
      </c>
      <c r="R539" s="399"/>
      <c r="S539" s="399">
        <v>2741.05</v>
      </c>
      <c r="T539" s="399">
        <v>141.32</v>
      </c>
      <c r="U539" s="399"/>
      <c r="V539" s="399">
        <v>343.00202999999999</v>
      </c>
      <c r="W539" s="399">
        <v>343.00202999999999</v>
      </c>
      <c r="X539" s="399">
        <v>245.60172</v>
      </c>
      <c r="Y539" s="399">
        <v>0</v>
      </c>
      <c r="Z539" s="399">
        <v>6.2818942093545296</v>
      </c>
      <c r="AA539" s="399">
        <v>0</v>
      </c>
      <c r="AB539" s="399">
        <v>0</v>
      </c>
      <c r="AC539" s="399">
        <v>0</v>
      </c>
      <c r="AD539" s="399">
        <v>94.433816016233664</v>
      </c>
      <c r="AE539" s="399">
        <v>223.45923964138061</v>
      </c>
      <c r="AF539" s="399">
        <v>16.816952673806334</v>
      </c>
      <c r="AG539" s="399">
        <v>0</v>
      </c>
      <c r="AH539" s="399">
        <v>0</v>
      </c>
      <c r="AI539" s="399">
        <v>0</v>
      </c>
      <c r="AJ539" s="399">
        <v>0</v>
      </c>
      <c r="AK539" s="399">
        <v>0</v>
      </c>
      <c r="AL539" s="399">
        <v>1.1164570895277013</v>
      </c>
      <c r="AM539" s="399"/>
      <c r="AN539" s="399">
        <v>7.1488347079554967E-2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0.82264205255821987</v>
      </c>
      <c r="BH539" s="399">
        <v>0</v>
      </c>
      <c r="BI539" s="399">
        <v>0</v>
      </c>
      <c r="BJ539" s="399">
        <v>0</v>
      </c>
      <c r="BK539" s="399">
        <v>0</v>
      </c>
      <c r="BL539" s="399">
        <v>0</v>
      </c>
      <c r="BM539" s="399"/>
      <c r="BN539" s="399"/>
      <c r="BO539" s="399"/>
      <c r="BP539" s="399"/>
      <c r="BQ539" s="399"/>
      <c r="BR539" s="399">
        <v>9.8240688000000009</v>
      </c>
      <c r="BS539" s="399"/>
      <c r="BT539" s="399"/>
      <c r="BU539" s="399"/>
      <c r="BV539" s="399">
        <v>17.639594726364553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227.02679999999998</v>
      </c>
      <c r="CJ539" s="399">
        <v>-102.2851488</v>
      </c>
      <c r="CK539" s="399"/>
      <c r="CL539" s="399"/>
      <c r="CM539" s="399"/>
      <c r="CN539" s="399"/>
      <c r="CO539" s="399">
        <v>-97.400310000000019</v>
      </c>
      <c r="CP539" s="399">
        <v>0</v>
      </c>
      <c r="CQ539" s="399">
        <v>31</v>
      </c>
      <c r="CR539" s="399">
        <v>-0.86237512508718339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-0.44976023316606017</v>
      </c>
      <c r="DA539" s="399">
        <v>0</v>
      </c>
      <c r="DB539" s="399">
        <v>0</v>
      </c>
      <c r="DC539" s="399">
        <v>0</v>
      </c>
      <c r="DD539" s="399">
        <v>0</v>
      </c>
      <c r="DE539" s="399">
        <v>0</v>
      </c>
      <c r="DF539" s="399">
        <v>0</v>
      </c>
      <c r="DG539" s="399">
        <v>0</v>
      </c>
      <c r="DH539" s="399">
        <v>0</v>
      </c>
      <c r="DI539" s="399">
        <v>-0.3539449198933724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-5.5787353848403942E-2</v>
      </c>
      <c r="DP539" s="399">
        <v>-2.8826181793425304E-3</v>
      </c>
      <c r="DQ539" s="399">
        <v>0</v>
      </c>
      <c r="DR539" s="399">
        <v>0</v>
      </c>
      <c r="DS539" s="399"/>
      <c r="DT539" s="399"/>
      <c r="DU539" s="399"/>
      <c r="DV539" s="399">
        <v>223.45923964138061</v>
      </c>
      <c r="DW539" s="399">
        <v>0</v>
      </c>
      <c r="DX539" s="399">
        <v>0</v>
      </c>
      <c r="DY539" s="399">
        <v>-97.400310000000019</v>
      </c>
      <c r="DZ539" s="399">
        <v>0</v>
      </c>
      <c r="EA539" s="399">
        <v>0</v>
      </c>
      <c r="EB539" s="399">
        <v>0</v>
      </c>
      <c r="EC539" s="399">
        <v>-96.538723086287661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218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541</v>
      </c>
      <c r="B540" s="399" t="s">
        <v>956</v>
      </c>
      <c r="C540" s="399" t="s">
        <v>2334</v>
      </c>
      <c r="D540" s="399" t="s">
        <v>533</v>
      </c>
      <c r="E540" s="399" t="s">
        <v>894</v>
      </c>
      <c r="F540" s="399" t="s">
        <v>1239</v>
      </c>
      <c r="G540" s="399" t="s">
        <v>1239</v>
      </c>
      <c r="H540" s="399" t="s">
        <v>1239</v>
      </c>
      <c r="I540" s="399" t="s">
        <v>2326</v>
      </c>
      <c r="J540" s="399" t="s">
        <v>2329</v>
      </c>
      <c r="K540" s="789">
        <v>44743</v>
      </c>
      <c r="L540" s="399">
        <v>0</v>
      </c>
      <c r="M540" s="399">
        <v>0</v>
      </c>
      <c r="N540" s="399">
        <v>0.872</v>
      </c>
      <c r="O540" s="399">
        <v>0.83711999999999998</v>
      </c>
      <c r="P540" s="399">
        <v>0.872</v>
      </c>
      <c r="Q540" s="399">
        <v>0.83711999999999998</v>
      </c>
      <c r="R540" s="399"/>
      <c r="S540" s="399">
        <v>69.680000000000007</v>
      </c>
      <c r="T540" s="399">
        <v>141.32</v>
      </c>
      <c r="U540" s="399"/>
      <c r="V540" s="399">
        <v>183.99199999999999</v>
      </c>
      <c r="W540" s="399">
        <v>183.99199999999999</v>
      </c>
      <c r="X540" s="399">
        <v>180.97487999999998</v>
      </c>
      <c r="Y540" s="399">
        <v>0</v>
      </c>
      <c r="Z540" s="399">
        <v>46.032031517286974</v>
      </c>
      <c r="AA540" s="399">
        <v>0</v>
      </c>
      <c r="AB540" s="399">
        <v>0</v>
      </c>
      <c r="AC540" s="399">
        <v>0</v>
      </c>
      <c r="AD540" s="399">
        <v>0</v>
      </c>
      <c r="AE540" s="399">
        <v>0</v>
      </c>
      <c r="AF540" s="399">
        <v>123.2301069878918</v>
      </c>
      <c r="AG540" s="399">
        <v>0</v>
      </c>
      <c r="AH540" s="399">
        <v>0</v>
      </c>
      <c r="AI540" s="399">
        <v>0</v>
      </c>
      <c r="AJ540" s="399">
        <v>0</v>
      </c>
      <c r="AK540" s="399">
        <v>0</v>
      </c>
      <c r="AL540" s="399">
        <v>8.181097328303828</v>
      </c>
      <c r="AM540" s="399"/>
      <c r="AN540" s="399">
        <v>0.52384738364178096</v>
      </c>
      <c r="AO540" s="399">
        <v>0</v>
      </c>
      <c r="AP540" s="399">
        <v>0</v>
      </c>
      <c r="AQ540" s="399">
        <v>0</v>
      </c>
      <c r="AR540" s="399">
        <v>0</v>
      </c>
      <c r="AS540" s="399">
        <v>0</v>
      </c>
      <c r="AT540" s="399">
        <v>0</v>
      </c>
      <c r="AU540" s="399">
        <v>0</v>
      </c>
      <c r="AV540" s="399">
        <v>0</v>
      </c>
      <c r="AW540" s="399">
        <v>0</v>
      </c>
      <c r="AX540" s="399">
        <v>0</v>
      </c>
      <c r="AY540" s="399">
        <v>0</v>
      </c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>
        <v>0</v>
      </c>
      <c r="BG540" s="399">
        <v>6.0280997464770394</v>
      </c>
      <c r="BH540" s="399">
        <v>0</v>
      </c>
      <c r="BI540" s="399">
        <v>0</v>
      </c>
      <c r="BJ540" s="399">
        <v>0</v>
      </c>
      <c r="BK540" s="399">
        <v>0</v>
      </c>
      <c r="BL540" s="399">
        <v>0</v>
      </c>
      <c r="BM540" s="399"/>
      <c r="BN540" s="399"/>
      <c r="BO540" s="399"/>
      <c r="BP540" s="399"/>
      <c r="BQ540" s="399"/>
      <c r="BR540" s="399">
        <v>7.2389952000000042</v>
      </c>
      <c r="BS540" s="399"/>
      <c r="BT540" s="399"/>
      <c r="BU540" s="399"/>
      <c r="BV540" s="399">
        <v>129.25820673436885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174.33359999999999</v>
      </c>
      <c r="CJ540" s="399">
        <v>-2.3287200000000041</v>
      </c>
      <c r="CK540" s="399"/>
      <c r="CL540" s="399"/>
      <c r="CM540" s="399"/>
      <c r="CN540" s="399"/>
      <c r="CO540" s="399">
        <v>-3.0171200000000069</v>
      </c>
      <c r="CP540" s="399">
        <v>0</v>
      </c>
      <c r="CQ540" s="399">
        <v>31</v>
      </c>
      <c r="CR540" s="399">
        <v>-3.0235309727329138</v>
      </c>
      <c r="CS540" s="399">
        <v>0</v>
      </c>
      <c r="CT540" s="399">
        <v>0</v>
      </c>
      <c r="CU540" s="399">
        <v>0</v>
      </c>
      <c r="CV540" s="399">
        <v>0</v>
      </c>
      <c r="CW540" s="399">
        <v>0</v>
      </c>
      <c r="CX540" s="399">
        <v>0</v>
      </c>
      <c r="CY540" s="399">
        <v>0</v>
      </c>
      <c r="CZ540" s="399">
        <v>0</v>
      </c>
      <c r="DA540" s="399">
        <v>0</v>
      </c>
      <c r="DB540" s="399">
        <v>0</v>
      </c>
      <c r="DC540" s="399">
        <v>0</v>
      </c>
      <c r="DD540" s="399">
        <v>0</v>
      </c>
      <c r="DE540" s="399">
        <v>0</v>
      </c>
      <c r="DF540" s="399">
        <v>0</v>
      </c>
      <c r="DG540" s="399">
        <v>0</v>
      </c>
      <c r="DH540" s="399">
        <v>0</v>
      </c>
      <c r="DI540" s="399">
        <v>-2.5936131945127769</v>
      </c>
      <c r="DJ540" s="399"/>
      <c r="DK540" s="399">
        <v>0</v>
      </c>
      <c r="DL540" s="399">
        <v>0</v>
      </c>
      <c r="DM540" s="399">
        <v>0</v>
      </c>
      <c r="DN540" s="399">
        <v>0</v>
      </c>
      <c r="DO540" s="399">
        <v>-0.40879472735973188</v>
      </c>
      <c r="DP540" s="399">
        <v>-2.1123050860392345E-2</v>
      </c>
      <c r="DQ540" s="399">
        <v>0</v>
      </c>
      <c r="DR540" s="399">
        <v>0</v>
      </c>
      <c r="DS540" s="399"/>
      <c r="DT540" s="399"/>
      <c r="DU540" s="399"/>
      <c r="DV540" s="399">
        <v>0</v>
      </c>
      <c r="DW540" s="399">
        <v>0</v>
      </c>
      <c r="DX540" s="399">
        <v>0</v>
      </c>
      <c r="DY540" s="399">
        <v>-3.0171200000000056</v>
      </c>
      <c r="DZ540" s="399">
        <v>0</v>
      </c>
      <c r="EA540" s="399">
        <v>0</v>
      </c>
      <c r="EB540" s="399">
        <v>0</v>
      </c>
      <c r="EC540" s="399">
        <v>0</v>
      </c>
      <c r="ED540" s="399">
        <v>0</v>
      </c>
      <c r="EE540" s="399">
        <v>0</v>
      </c>
      <c r="EF540" s="399">
        <v>0</v>
      </c>
      <c r="EG540" s="399">
        <v>0</v>
      </c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>
        <v>0</v>
      </c>
      <c r="EN540" s="399">
        <v>0</v>
      </c>
      <c r="EO540" s="399">
        <v>0</v>
      </c>
      <c r="EP540" s="399">
        <v>0</v>
      </c>
      <c r="EQ540" s="399">
        <v>0</v>
      </c>
      <c r="ER540" s="399">
        <v>0</v>
      </c>
      <c r="ES540" s="399">
        <v>0</v>
      </c>
      <c r="ET540" s="399">
        <v>0</v>
      </c>
      <c r="EU540" s="399">
        <v>0</v>
      </c>
      <c r="EV540" s="399">
        <v>218</v>
      </c>
      <c r="EW540" s="399">
        <v>0</v>
      </c>
      <c r="EX540" s="399">
        <v>0</v>
      </c>
      <c r="EY540" s="399">
        <v>0</v>
      </c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543</v>
      </c>
      <c r="B541" s="399" t="s">
        <v>956</v>
      </c>
      <c r="C541" s="399" t="s">
        <v>2334</v>
      </c>
      <c r="D541" s="399" t="s">
        <v>533</v>
      </c>
      <c r="E541" s="399" t="s">
        <v>894</v>
      </c>
      <c r="F541" s="399" t="s">
        <v>1239</v>
      </c>
      <c r="G541" s="399" t="s">
        <v>1239</v>
      </c>
      <c r="H541" s="399" t="s">
        <v>1239</v>
      </c>
      <c r="I541" s="399" t="s">
        <v>1239</v>
      </c>
      <c r="J541" s="399" t="s">
        <v>2329</v>
      </c>
      <c r="K541" s="789">
        <v>44743</v>
      </c>
      <c r="L541" s="399">
        <v>90</v>
      </c>
      <c r="M541" s="399">
        <v>86.4</v>
      </c>
      <c r="N541" s="399">
        <v>0</v>
      </c>
      <c r="O541" s="399">
        <v>0</v>
      </c>
      <c r="P541" s="399">
        <v>0</v>
      </c>
      <c r="Q541" s="399">
        <v>0</v>
      </c>
      <c r="R541" s="399">
        <v>35.15</v>
      </c>
      <c r="S541" s="399"/>
      <c r="T541" s="399"/>
      <c r="U541" s="399">
        <v>3163.5</v>
      </c>
      <c r="V541" s="399"/>
      <c r="W541" s="399">
        <v>3163.5</v>
      </c>
      <c r="X541" s="399">
        <v>2309.4</v>
      </c>
      <c r="Y541" s="399">
        <v>0</v>
      </c>
      <c r="Z541" s="399">
        <v>0</v>
      </c>
      <c r="AA541" s="399">
        <v>0</v>
      </c>
      <c r="AB541" s="399">
        <v>0</v>
      </c>
      <c r="AC541" s="399">
        <v>0</v>
      </c>
      <c r="AD541" s="399">
        <v>1199.8235963272409</v>
      </c>
      <c r="AE541" s="399">
        <v>1963.6179499154971</v>
      </c>
      <c r="AF541" s="399"/>
      <c r="AG541" s="399"/>
      <c r="AH541" s="399"/>
      <c r="AI541" s="399">
        <v>0</v>
      </c>
      <c r="AJ541" s="399">
        <v>0</v>
      </c>
      <c r="AK541" s="399">
        <v>0</v>
      </c>
      <c r="AL541" s="399">
        <v>0</v>
      </c>
      <c r="AM541" s="399"/>
      <c r="AN541" s="399">
        <v>0</v>
      </c>
      <c r="AO541" s="399">
        <v>0</v>
      </c>
      <c r="AP541" s="399">
        <v>0</v>
      </c>
      <c r="AQ541" s="399">
        <v>0</v>
      </c>
      <c r="AR541" s="399">
        <v>0</v>
      </c>
      <c r="AS541" s="399"/>
      <c r="AT541" s="399"/>
      <c r="AU541" s="399">
        <v>0</v>
      </c>
      <c r="AV541" s="399">
        <v>0</v>
      </c>
      <c r="AW541" s="399">
        <v>0</v>
      </c>
      <c r="AX541" s="399"/>
      <c r="AY541" s="399"/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/>
      <c r="BG541" s="399">
        <v>0</v>
      </c>
      <c r="BH541" s="399">
        <v>0</v>
      </c>
      <c r="BI541" s="399">
        <v>18.45</v>
      </c>
      <c r="BJ541" s="399">
        <v>85.19</v>
      </c>
      <c r="BK541" s="399">
        <v>126.93</v>
      </c>
      <c r="BL541" s="399">
        <v>1</v>
      </c>
      <c r="BM541" s="399"/>
      <c r="BN541" s="399"/>
      <c r="BO541" s="399"/>
      <c r="BP541" s="399"/>
      <c r="BQ541" s="399"/>
      <c r="BR541" s="399">
        <v>92.375999999999848</v>
      </c>
      <c r="BS541" s="399"/>
      <c r="BT541" s="399"/>
      <c r="BU541" s="399"/>
      <c r="BV541" s="399">
        <v>0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2217.0240000000003</v>
      </c>
      <c r="CJ541" s="399">
        <v>-819.96600000000035</v>
      </c>
      <c r="CK541" s="399"/>
      <c r="CL541" s="399"/>
      <c r="CM541" s="399"/>
      <c r="CN541" s="399"/>
      <c r="CO541" s="399">
        <v>-854.09999999999991</v>
      </c>
      <c r="CP541" s="399">
        <v>0</v>
      </c>
      <c r="CQ541" s="399">
        <v>31</v>
      </c>
      <c r="CR541" s="399">
        <v>-5.7144036236848024</v>
      </c>
      <c r="CS541" s="399">
        <v>0</v>
      </c>
      <c r="CT541" s="399">
        <v>0</v>
      </c>
      <c r="CU541" s="399">
        <v>0</v>
      </c>
      <c r="CV541" s="399">
        <v>0</v>
      </c>
      <c r="CW541" s="399"/>
      <c r="CX541" s="399"/>
      <c r="CY541" s="399"/>
      <c r="CZ541" s="399">
        <v>-5.7144036236848024</v>
      </c>
      <c r="DA541" s="399">
        <v>0</v>
      </c>
      <c r="DB541" s="399">
        <v>0</v>
      </c>
      <c r="DC541" s="399"/>
      <c r="DD541" s="399"/>
      <c r="DE541" s="399">
        <v>0</v>
      </c>
      <c r="DF541" s="399">
        <v>0</v>
      </c>
      <c r="DG541" s="399">
        <v>0</v>
      </c>
      <c r="DH541" s="399">
        <v>0</v>
      </c>
      <c r="DI541" s="399">
        <v>0</v>
      </c>
      <c r="DJ541" s="399"/>
      <c r="DK541" s="399">
        <v>0</v>
      </c>
      <c r="DL541" s="399">
        <v>0</v>
      </c>
      <c r="DM541" s="399"/>
      <c r="DN541" s="399">
        <v>0</v>
      </c>
      <c r="DO541" s="399">
        <v>0</v>
      </c>
      <c r="DP541" s="399">
        <v>0</v>
      </c>
      <c r="DQ541" s="399">
        <v>0</v>
      </c>
      <c r="DR541" s="399">
        <v>0</v>
      </c>
      <c r="DS541" s="399"/>
      <c r="DT541" s="399"/>
      <c r="DU541" s="399">
        <v>1963.6179499154971</v>
      </c>
      <c r="DV541" s="399"/>
      <c r="DW541" s="399">
        <v>0</v>
      </c>
      <c r="DX541" s="399">
        <v>0</v>
      </c>
      <c r="DY541" s="399">
        <v>-854.09999999999991</v>
      </c>
      <c r="DZ541" s="399"/>
      <c r="EA541" s="399">
        <v>0</v>
      </c>
      <c r="EB541" s="399"/>
      <c r="EC541" s="399">
        <v>-848.32101737381709</v>
      </c>
      <c r="ED541" s="399"/>
      <c r="EE541" s="399">
        <v>0</v>
      </c>
      <c r="EF541" s="399">
        <v>0</v>
      </c>
      <c r="EG541" s="399"/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/>
      <c r="EN541" s="399"/>
      <c r="EO541" s="399">
        <v>0</v>
      </c>
      <c r="EP541" s="399">
        <v>0</v>
      </c>
      <c r="EQ541" s="399"/>
      <c r="ER541" s="399">
        <v>0</v>
      </c>
      <c r="ES541" s="399"/>
      <c r="ET541" s="399">
        <v>0</v>
      </c>
      <c r="EU541" s="399"/>
      <c r="EV541" s="399">
        <v>218</v>
      </c>
      <c r="EW541" s="399"/>
      <c r="EX541" s="399"/>
      <c r="EY541" s="399"/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544</v>
      </c>
      <c r="B542" s="399" t="s">
        <v>2361</v>
      </c>
      <c r="C542" s="399" t="s">
        <v>2334</v>
      </c>
      <c r="D542" s="399" t="s">
        <v>533</v>
      </c>
      <c r="E542" s="399" t="s">
        <v>894</v>
      </c>
      <c r="F542" s="399" t="s">
        <v>1239</v>
      </c>
      <c r="G542" s="399" t="s">
        <v>1239</v>
      </c>
      <c r="H542" s="399" t="s">
        <v>1239</v>
      </c>
      <c r="I542" s="399" t="s">
        <v>1239</v>
      </c>
      <c r="J542" s="399" t="s">
        <v>2329</v>
      </c>
      <c r="K542" s="789">
        <v>44743</v>
      </c>
      <c r="L542" s="399">
        <v>100</v>
      </c>
      <c r="M542" s="399">
        <v>96</v>
      </c>
      <c r="N542" s="399">
        <v>0</v>
      </c>
      <c r="O542" s="399">
        <v>0</v>
      </c>
      <c r="P542" s="399">
        <v>0</v>
      </c>
      <c r="Q542" s="399">
        <v>0</v>
      </c>
      <c r="R542" s="399">
        <v>35.15</v>
      </c>
      <c r="S542" s="399"/>
      <c r="T542" s="399"/>
      <c r="U542" s="399">
        <v>3515</v>
      </c>
      <c r="V542" s="399"/>
      <c r="W542" s="399">
        <v>3515</v>
      </c>
      <c r="X542" s="399">
        <v>2566</v>
      </c>
      <c r="Y542" s="399">
        <v>0</v>
      </c>
      <c r="Z542" s="399">
        <v>0</v>
      </c>
      <c r="AA542" s="399">
        <v>0</v>
      </c>
      <c r="AB542" s="399">
        <v>0</v>
      </c>
      <c r="AC542" s="399">
        <v>0</v>
      </c>
      <c r="AD542" s="399">
        <v>1333.13732925249</v>
      </c>
      <c r="AE542" s="399">
        <v>2181.79772212833</v>
      </c>
      <c r="AF542" s="399"/>
      <c r="AG542" s="399"/>
      <c r="AH542" s="399"/>
      <c r="AI542" s="399">
        <v>0</v>
      </c>
      <c r="AJ542" s="399">
        <v>0</v>
      </c>
      <c r="AK542" s="399">
        <v>0</v>
      </c>
      <c r="AL542" s="399">
        <v>0</v>
      </c>
      <c r="AM542" s="399"/>
      <c r="AN542" s="399">
        <v>0</v>
      </c>
      <c r="AO542" s="399">
        <v>0</v>
      </c>
      <c r="AP542" s="399">
        <v>0</v>
      </c>
      <c r="AQ542" s="399">
        <v>0</v>
      </c>
      <c r="AR542" s="399">
        <v>0</v>
      </c>
      <c r="AS542" s="399"/>
      <c r="AT542" s="399"/>
      <c r="AU542" s="399">
        <v>0</v>
      </c>
      <c r="AV542" s="399">
        <v>0</v>
      </c>
      <c r="AW542" s="399">
        <v>0</v>
      </c>
      <c r="AX542" s="399"/>
      <c r="AY542" s="399"/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/>
      <c r="BG542" s="399">
        <v>0</v>
      </c>
      <c r="BH542" s="399">
        <v>0</v>
      </c>
      <c r="BI542" s="399">
        <v>17.309999999999999</v>
      </c>
      <c r="BJ542" s="399">
        <v>79.900000000000006</v>
      </c>
      <c r="BK542" s="399">
        <v>155.47999999999999</v>
      </c>
      <c r="BL542" s="399">
        <v>1</v>
      </c>
      <c r="BM542" s="399"/>
      <c r="BN542" s="399"/>
      <c r="BO542" s="399"/>
      <c r="BP542" s="399"/>
      <c r="BQ542" s="399"/>
      <c r="BR542" s="399">
        <v>102.64</v>
      </c>
      <c r="BS542" s="399"/>
      <c r="BT542" s="399"/>
      <c r="BU542" s="399"/>
      <c r="BV542" s="399">
        <v>0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2463.36</v>
      </c>
      <c r="CJ542" s="399">
        <v>-911.07000000000016</v>
      </c>
      <c r="CK542" s="399"/>
      <c r="CL542" s="399"/>
      <c r="CM542" s="399"/>
      <c r="CN542" s="399"/>
      <c r="CO542" s="399">
        <v>-948.99999999999989</v>
      </c>
      <c r="CP542" s="399">
        <v>0</v>
      </c>
      <c r="CQ542" s="399">
        <v>31</v>
      </c>
      <c r="CR542" s="399">
        <v>-6.3493373596497804</v>
      </c>
      <c r="CS542" s="399">
        <v>0</v>
      </c>
      <c r="CT542" s="399">
        <v>0</v>
      </c>
      <c r="CU542" s="399">
        <v>0</v>
      </c>
      <c r="CV542" s="399">
        <v>0</v>
      </c>
      <c r="CW542" s="399"/>
      <c r="CX542" s="399"/>
      <c r="CY542" s="399"/>
      <c r="CZ542" s="399">
        <v>-6.3493373596497804</v>
      </c>
      <c r="DA542" s="399">
        <v>0</v>
      </c>
      <c r="DB542" s="399">
        <v>0</v>
      </c>
      <c r="DC542" s="399"/>
      <c r="DD542" s="399"/>
      <c r="DE542" s="399">
        <v>0</v>
      </c>
      <c r="DF542" s="399">
        <v>0</v>
      </c>
      <c r="DG542" s="399">
        <v>0</v>
      </c>
      <c r="DH542" s="399">
        <v>0</v>
      </c>
      <c r="DI542" s="399">
        <v>0</v>
      </c>
      <c r="DJ542" s="399"/>
      <c r="DK542" s="399">
        <v>0</v>
      </c>
      <c r="DL542" s="399">
        <v>0</v>
      </c>
      <c r="DM542" s="399"/>
      <c r="DN542" s="399">
        <v>0</v>
      </c>
      <c r="DO542" s="399">
        <v>0</v>
      </c>
      <c r="DP542" s="399">
        <v>0</v>
      </c>
      <c r="DQ542" s="399">
        <v>0</v>
      </c>
      <c r="DR542" s="399">
        <v>0</v>
      </c>
      <c r="DS542" s="399"/>
      <c r="DT542" s="399"/>
      <c r="DU542" s="399">
        <v>2181.79772212833</v>
      </c>
      <c r="DV542" s="399"/>
      <c r="DW542" s="399">
        <v>0</v>
      </c>
      <c r="DX542" s="399">
        <v>0</v>
      </c>
      <c r="DY542" s="399">
        <v>-949</v>
      </c>
      <c r="DZ542" s="399"/>
      <c r="EA542" s="399">
        <v>0</v>
      </c>
      <c r="EB542" s="399"/>
      <c r="EC542" s="399">
        <v>-942.57890819313002</v>
      </c>
      <c r="ED542" s="399"/>
      <c r="EE542" s="399">
        <v>0</v>
      </c>
      <c r="EF542" s="399">
        <v>0</v>
      </c>
      <c r="EG542" s="399"/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/>
      <c r="EN542" s="399"/>
      <c r="EO542" s="399">
        <v>0</v>
      </c>
      <c r="EP542" s="399">
        <v>0</v>
      </c>
      <c r="EQ542" s="399"/>
      <c r="ER542" s="399">
        <v>0</v>
      </c>
      <c r="ES542" s="399"/>
      <c r="ET542" s="399">
        <v>0</v>
      </c>
      <c r="EU542" s="399"/>
      <c r="EV542" s="399">
        <v>218</v>
      </c>
      <c r="EW542" s="399"/>
      <c r="EX542" s="399"/>
      <c r="EY542" s="399"/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545</v>
      </c>
      <c r="B543" s="399" t="s">
        <v>956</v>
      </c>
      <c r="C543" s="399" t="s">
        <v>2328</v>
      </c>
      <c r="D543" s="399" t="s">
        <v>1826</v>
      </c>
      <c r="E543" s="399" t="s">
        <v>2336</v>
      </c>
      <c r="F543" s="399" t="s">
        <v>1239</v>
      </c>
      <c r="G543" s="399" t="s">
        <v>1239</v>
      </c>
      <c r="H543" s="399" t="s">
        <v>1239</v>
      </c>
      <c r="I543" s="399" t="s">
        <v>1239</v>
      </c>
      <c r="J543" s="399" t="s">
        <v>2329</v>
      </c>
      <c r="K543" s="789">
        <v>44743</v>
      </c>
      <c r="L543" s="399">
        <v>0</v>
      </c>
      <c r="M543" s="399">
        <v>0</v>
      </c>
      <c r="N543" s="399">
        <v>111.56</v>
      </c>
      <c r="O543" s="399">
        <v>111.56</v>
      </c>
      <c r="P543" s="399">
        <v>111.56</v>
      </c>
      <c r="Q543" s="399">
        <v>111.56</v>
      </c>
      <c r="R543" s="399"/>
      <c r="S543" s="399">
        <v>521.86</v>
      </c>
      <c r="T543" s="399">
        <v>141.32</v>
      </c>
      <c r="U543" s="399"/>
      <c r="V543" s="399">
        <v>73984.360799999995</v>
      </c>
      <c r="W543" s="399">
        <v>73984.360799999995</v>
      </c>
      <c r="X543" s="399">
        <v>57824.894800000002</v>
      </c>
      <c r="Y543" s="399">
        <v>0</v>
      </c>
      <c r="Z543" s="399">
        <v>6769.1308605775266</v>
      </c>
      <c r="AA543" s="399">
        <v>0</v>
      </c>
      <c r="AB543" s="399">
        <v>0</v>
      </c>
      <c r="AC543" s="399">
        <v>0</v>
      </c>
      <c r="AD543" s="399">
        <v>11998.702176026216</v>
      </c>
      <c r="AE543" s="399">
        <v>36251.510674362944</v>
      </c>
      <c r="AF543" s="399">
        <v>15765.539834368359</v>
      </c>
      <c r="AG543" s="399">
        <v>0</v>
      </c>
      <c r="AH543" s="399">
        <v>0</v>
      </c>
      <c r="AI543" s="399">
        <v>0</v>
      </c>
      <c r="AJ543" s="399">
        <v>0</v>
      </c>
      <c r="AK543" s="399">
        <v>0</v>
      </c>
      <c r="AL543" s="399">
        <v>1046.6550664513477</v>
      </c>
      <c r="AM543" s="399"/>
      <c r="AN543" s="399">
        <v>154.71884720855468</v>
      </c>
      <c r="AO543" s="399">
        <v>0</v>
      </c>
      <c r="AP543" s="399">
        <v>0</v>
      </c>
      <c r="AQ543" s="399">
        <v>0</v>
      </c>
      <c r="AR543" s="399">
        <v>0</v>
      </c>
      <c r="AS543" s="399">
        <v>0</v>
      </c>
      <c r="AT543" s="399">
        <v>0</v>
      </c>
      <c r="AU543" s="399">
        <v>0</v>
      </c>
      <c r="AV543" s="399">
        <v>0</v>
      </c>
      <c r="AW543" s="399">
        <v>0</v>
      </c>
      <c r="AX543" s="399">
        <v>0</v>
      </c>
      <c r="AY543" s="399">
        <v>0</v>
      </c>
      <c r="AZ543" s="399">
        <v>0</v>
      </c>
      <c r="BA543" s="399"/>
      <c r="BB543" s="399">
        <v>0</v>
      </c>
      <c r="BC543" s="399">
        <v>0</v>
      </c>
      <c r="BD543" s="399">
        <v>0</v>
      </c>
      <c r="BE543" s="399">
        <v>0</v>
      </c>
      <c r="BF543" s="399">
        <v>0</v>
      </c>
      <c r="BG543" s="399">
        <v>1997.4704221067918</v>
      </c>
      <c r="BH543" s="399">
        <v>0</v>
      </c>
      <c r="BI543" s="399">
        <v>389.24</v>
      </c>
      <c r="BJ543" s="399">
        <v>1800.46</v>
      </c>
      <c r="BK543" s="399">
        <v>10168.530000000001</v>
      </c>
      <c r="BL543" s="399">
        <v>159</v>
      </c>
      <c r="BM543" s="399"/>
      <c r="BN543" s="399"/>
      <c r="BO543" s="399"/>
      <c r="BP543" s="399"/>
      <c r="BQ543" s="399"/>
      <c r="BR543" s="399"/>
      <c r="BS543" s="399"/>
      <c r="BT543" s="399"/>
      <c r="BU543" s="399"/>
      <c r="BV543" s="399">
        <v>17763.010256475151</v>
      </c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>
        <v>57824.894800000002</v>
      </c>
      <c r="CJ543" s="399">
        <v>-16159.495999999992</v>
      </c>
      <c r="CK543" s="399"/>
      <c r="CL543" s="399"/>
      <c r="CM543" s="399"/>
      <c r="CN543" s="399"/>
      <c r="CO543" s="399">
        <v>-16159.466000000002</v>
      </c>
      <c r="CP543" s="399">
        <v>0</v>
      </c>
      <c r="CQ543" s="399">
        <v>31</v>
      </c>
      <c r="CR543" s="399">
        <v>-497.08205979916238</v>
      </c>
      <c r="CS543" s="399">
        <v>0</v>
      </c>
      <c r="CT543" s="399">
        <v>0</v>
      </c>
      <c r="CU543" s="399">
        <v>0</v>
      </c>
      <c r="CV543" s="399">
        <v>0</v>
      </c>
      <c r="CW543" s="399">
        <v>0</v>
      </c>
      <c r="CX543" s="399">
        <v>0</v>
      </c>
      <c r="CY543" s="399">
        <v>0</v>
      </c>
      <c r="CZ543" s="399">
        <v>-57.146256669844661</v>
      </c>
      <c r="DA543" s="399">
        <v>0</v>
      </c>
      <c r="DB543" s="399">
        <v>0</v>
      </c>
      <c r="DC543" s="399">
        <v>0</v>
      </c>
      <c r="DD543" s="399">
        <v>0</v>
      </c>
      <c r="DE543" s="399">
        <v>0</v>
      </c>
      <c r="DF543" s="399">
        <v>0</v>
      </c>
      <c r="DG543" s="399">
        <v>0</v>
      </c>
      <c r="DH543" s="399">
        <v>0</v>
      </c>
      <c r="DI543" s="399">
        <v>-381.39761676135913</v>
      </c>
      <c r="DJ543" s="399"/>
      <c r="DK543" s="399">
        <v>0</v>
      </c>
      <c r="DL543" s="399">
        <v>0</v>
      </c>
      <c r="DM543" s="399">
        <v>0</v>
      </c>
      <c r="DN543" s="399">
        <v>0</v>
      </c>
      <c r="DO543" s="399">
        <v>-52.299472229646653</v>
      </c>
      <c r="DP543" s="399">
        <v>-6.2387141383186417</v>
      </c>
      <c r="DQ543" s="399">
        <v>0</v>
      </c>
      <c r="DR543" s="399">
        <v>0</v>
      </c>
      <c r="DS543" s="399"/>
      <c r="DT543" s="399"/>
      <c r="DU543" s="399"/>
      <c r="DV543" s="399">
        <v>36251.510674362944</v>
      </c>
      <c r="DW543" s="399">
        <v>0</v>
      </c>
      <c r="DX543" s="399">
        <v>0</v>
      </c>
      <c r="DY543" s="399">
        <v>-16159.466</v>
      </c>
      <c r="DZ543" s="399">
        <v>0</v>
      </c>
      <c r="EA543" s="399">
        <v>0</v>
      </c>
      <c r="EB543" s="399">
        <v>0</v>
      </c>
      <c r="EC543" s="399">
        <v>-15661.355315038109</v>
      </c>
      <c r="ED543" s="399">
        <v>0</v>
      </c>
      <c r="EE543" s="399">
        <v>0</v>
      </c>
      <c r="EF543" s="399">
        <v>0</v>
      </c>
      <c r="EG543" s="399">
        <v>0</v>
      </c>
      <c r="EH543" s="399">
        <v>0</v>
      </c>
      <c r="EI543" s="399">
        <v>0</v>
      </c>
      <c r="EJ543" s="399">
        <v>0</v>
      </c>
      <c r="EK543" s="399">
        <v>0</v>
      </c>
      <c r="EL543" s="399">
        <v>0</v>
      </c>
      <c r="EM543" s="399">
        <v>0</v>
      </c>
      <c r="EN543" s="399">
        <v>0</v>
      </c>
      <c r="EO543" s="399">
        <v>0</v>
      </c>
      <c r="EP543" s="399">
        <v>0</v>
      </c>
      <c r="EQ543" s="399">
        <v>0</v>
      </c>
      <c r="ER543" s="399">
        <v>0</v>
      </c>
      <c r="ES543" s="399">
        <v>0</v>
      </c>
      <c r="ET543" s="399">
        <v>0</v>
      </c>
      <c r="EU543" s="399">
        <v>0</v>
      </c>
      <c r="EV543" s="399">
        <v>218</v>
      </c>
      <c r="EW543" s="399">
        <v>0</v>
      </c>
      <c r="EX543" s="399">
        <v>0</v>
      </c>
      <c r="EY543" s="399">
        <v>0</v>
      </c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546</v>
      </c>
      <c r="B544" s="399" t="s">
        <v>956</v>
      </c>
      <c r="C544" s="399" t="s">
        <v>2328</v>
      </c>
      <c r="D544" s="399" t="s">
        <v>2337</v>
      </c>
      <c r="E544" s="399" t="s">
        <v>2338</v>
      </c>
      <c r="F544" s="399" t="s">
        <v>2339</v>
      </c>
      <c r="G544" s="399" t="s">
        <v>1239</v>
      </c>
      <c r="H544" s="399" t="s">
        <v>1239</v>
      </c>
      <c r="I544" s="399" t="s">
        <v>1239</v>
      </c>
      <c r="J544" s="399" t="s">
        <v>2329</v>
      </c>
      <c r="K544" s="789">
        <v>44743</v>
      </c>
      <c r="L544" s="399">
        <v>0</v>
      </c>
      <c r="M544" s="399">
        <v>0</v>
      </c>
      <c r="N544" s="399">
        <v>80.864000000000004</v>
      </c>
      <c r="O544" s="399">
        <v>80.864000000000004</v>
      </c>
      <c r="P544" s="399">
        <v>80.864000000000004</v>
      </c>
      <c r="Q544" s="399">
        <v>80.864000000000004</v>
      </c>
      <c r="R544" s="399"/>
      <c r="S544" s="399">
        <v>287.02</v>
      </c>
      <c r="T544" s="399">
        <v>77.73</v>
      </c>
      <c r="U544" s="399"/>
      <c r="V544" s="399">
        <v>29495.144</v>
      </c>
      <c r="W544" s="399">
        <v>29495.144</v>
      </c>
      <c r="X544" s="399">
        <v>23053.517760000002</v>
      </c>
      <c r="Y544" s="399">
        <v>0</v>
      </c>
      <c r="Z544" s="399">
        <v>2698.6236003079707</v>
      </c>
      <c r="AA544" s="399">
        <v>0</v>
      </c>
      <c r="AB544" s="399">
        <v>0</v>
      </c>
      <c r="AC544" s="399">
        <v>0</v>
      </c>
      <c r="AD544" s="399">
        <v>4783.4768646396824</v>
      </c>
      <c r="AE544" s="399">
        <v>14452.251591470302</v>
      </c>
      <c r="AF544" s="399">
        <v>6285.1876769585924</v>
      </c>
      <c r="AG544" s="399">
        <v>0</v>
      </c>
      <c r="AH544" s="399">
        <v>0</v>
      </c>
      <c r="AI544" s="399">
        <v>0</v>
      </c>
      <c r="AJ544" s="399">
        <v>0</v>
      </c>
      <c r="AK544" s="399">
        <v>0</v>
      </c>
      <c r="AL544" s="399">
        <v>417.26598611901244</v>
      </c>
      <c r="AM544" s="399"/>
      <c r="AN544" s="399">
        <v>61.681173120920882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796.32392001867925</v>
      </c>
      <c r="BH544" s="399">
        <v>0</v>
      </c>
      <c r="BI544" s="399">
        <v>155.5</v>
      </c>
      <c r="BJ544" s="399">
        <v>717.81</v>
      </c>
      <c r="BK544" s="399">
        <v>4900.62</v>
      </c>
      <c r="BL544" s="399">
        <v>7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>
        <v>7081.5115969772714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23052.377400000001</v>
      </c>
      <c r="CJ544" s="399">
        <v>-6442.7965999999942</v>
      </c>
      <c r="CK544" s="399"/>
      <c r="CL544" s="399"/>
      <c r="CM544" s="399"/>
      <c r="CN544" s="399"/>
      <c r="CO544" s="399">
        <v>-6441.6262399999978</v>
      </c>
      <c r="CP544" s="399">
        <v>0</v>
      </c>
      <c r="CQ544" s="399">
        <v>31</v>
      </c>
      <c r="CR544" s="399">
        <v>-198.16981020062121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-22.782280339229146</v>
      </c>
      <c r="DA544" s="399">
        <v>0</v>
      </c>
      <c r="DB544" s="399">
        <v>0</v>
      </c>
      <c r="DC544" s="399">
        <v>0</v>
      </c>
      <c r="DD544" s="399">
        <v>0</v>
      </c>
      <c r="DE544" s="399">
        <v>0</v>
      </c>
      <c r="DF544" s="399">
        <v>0</v>
      </c>
      <c r="DG544" s="399">
        <v>0</v>
      </c>
      <c r="DH544" s="399">
        <v>0</v>
      </c>
      <c r="DI544" s="399">
        <v>-152.05033421463213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-20.850031259484183</v>
      </c>
      <c r="DP544" s="399">
        <v>-2.487164387276664</v>
      </c>
      <c r="DQ544" s="399">
        <v>0</v>
      </c>
      <c r="DR544" s="399">
        <v>0</v>
      </c>
      <c r="DS544" s="399"/>
      <c r="DT544" s="399"/>
      <c r="DU544" s="399"/>
      <c r="DV544" s="399">
        <v>14452.251591470302</v>
      </c>
      <c r="DW544" s="399">
        <v>0</v>
      </c>
      <c r="DX544" s="399">
        <v>0</v>
      </c>
      <c r="DY544" s="399">
        <v>-6441.6262399999978</v>
      </c>
      <c r="DZ544" s="399">
        <v>0</v>
      </c>
      <c r="EA544" s="399">
        <v>0</v>
      </c>
      <c r="EB544" s="399">
        <v>0</v>
      </c>
      <c r="EC544" s="399">
        <v>-6243.6528317262964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0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218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547</v>
      </c>
      <c r="B545" s="399" t="s">
        <v>956</v>
      </c>
      <c r="C545" s="399" t="s">
        <v>2328</v>
      </c>
      <c r="D545" s="399" t="s">
        <v>1826</v>
      </c>
      <c r="E545" s="399" t="s">
        <v>921</v>
      </c>
      <c r="F545" s="399" t="s">
        <v>2362</v>
      </c>
      <c r="G545" s="399" t="s">
        <v>1239</v>
      </c>
      <c r="H545" s="399" t="s">
        <v>1239</v>
      </c>
      <c r="I545" s="399" t="s">
        <v>1239</v>
      </c>
      <c r="J545" s="399" t="s">
        <v>2329</v>
      </c>
      <c r="K545" s="789">
        <v>44743</v>
      </c>
      <c r="L545" s="399">
        <v>0</v>
      </c>
      <c r="M545" s="399">
        <v>0</v>
      </c>
      <c r="N545" s="399">
        <v>49.674999999999997</v>
      </c>
      <c r="O545" s="399">
        <v>46.694499999999998</v>
      </c>
      <c r="P545" s="399">
        <v>49.674999999999997</v>
      </c>
      <c r="Q545" s="399">
        <v>46.694499999999998</v>
      </c>
      <c r="R545" s="399"/>
      <c r="S545" s="399">
        <v>521.86</v>
      </c>
      <c r="T545" s="399">
        <v>141.32</v>
      </c>
      <c r="U545" s="399"/>
      <c r="V545" s="399">
        <v>32943.466499999995</v>
      </c>
      <c r="W545" s="399">
        <v>32943.466499999995</v>
      </c>
      <c r="X545" s="399">
        <v>25748.042749999997</v>
      </c>
      <c r="Y545" s="399">
        <v>0</v>
      </c>
      <c r="Z545" s="399">
        <v>3014.1320858657996</v>
      </c>
      <c r="AA545" s="399">
        <v>0</v>
      </c>
      <c r="AB545" s="399">
        <v>0</v>
      </c>
      <c r="AC545" s="399">
        <v>0</v>
      </c>
      <c r="AD545" s="399">
        <v>5342.7351254401419</v>
      </c>
      <c r="AE545" s="399">
        <v>16141.930734573136</v>
      </c>
      <c r="AF545" s="399">
        <v>7020.0178493389049</v>
      </c>
      <c r="AG545" s="399">
        <v>0</v>
      </c>
      <c r="AH545" s="399">
        <v>0</v>
      </c>
      <c r="AI545" s="399">
        <v>0</v>
      </c>
      <c r="AJ545" s="399">
        <v>0</v>
      </c>
      <c r="AK545" s="399">
        <v>0</v>
      </c>
      <c r="AL545" s="399">
        <v>466.05046993519801</v>
      </c>
      <c r="AM545" s="399"/>
      <c r="AN545" s="399">
        <v>68.892602501657876</v>
      </c>
      <c r="AO545" s="399">
        <v>0</v>
      </c>
      <c r="AP545" s="399">
        <v>0</v>
      </c>
      <c r="AQ545" s="399">
        <v>0</v>
      </c>
      <c r="AR545" s="399">
        <v>0</v>
      </c>
      <c r="AS545" s="399">
        <v>0</v>
      </c>
      <c r="AT545" s="399">
        <v>0</v>
      </c>
      <c r="AU545" s="399">
        <v>0</v>
      </c>
      <c r="AV545" s="399">
        <v>0</v>
      </c>
      <c r="AW545" s="399">
        <v>0</v>
      </c>
      <c r="AX545" s="399">
        <v>0</v>
      </c>
      <c r="AY545" s="399">
        <v>0</v>
      </c>
      <c r="AZ545" s="399">
        <v>0</v>
      </c>
      <c r="BA545" s="399"/>
      <c r="BB545" s="399">
        <v>0</v>
      </c>
      <c r="BC545" s="399">
        <v>0</v>
      </c>
      <c r="BD545" s="399">
        <v>0</v>
      </c>
      <c r="BE545" s="399">
        <v>0</v>
      </c>
      <c r="BF545" s="399">
        <v>0</v>
      </c>
      <c r="BG545" s="399">
        <v>889.42580869626102</v>
      </c>
      <c r="BH545" s="399">
        <v>0</v>
      </c>
      <c r="BI545" s="399">
        <v>173.62</v>
      </c>
      <c r="BJ545" s="399">
        <v>801.69</v>
      </c>
      <c r="BK545" s="399">
        <v>5473.33</v>
      </c>
      <c r="BL545" s="399">
        <v>20</v>
      </c>
      <c r="BM545" s="399"/>
      <c r="BN545" s="399"/>
      <c r="BO545" s="399"/>
      <c r="BP545" s="399"/>
      <c r="BQ545" s="399">
        <v>1544.8825649999994</v>
      </c>
      <c r="BR545" s="399"/>
      <c r="BS545" s="399"/>
      <c r="BT545" s="399"/>
      <c r="BU545" s="399"/>
      <c r="BV545" s="399">
        <v>7909.4436580351658</v>
      </c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>
        <v>24200.827700000002</v>
      </c>
      <c r="CJ545" s="399">
        <v>-6766.0608099999918</v>
      </c>
      <c r="CK545" s="399"/>
      <c r="CL545" s="399"/>
      <c r="CM545" s="399"/>
      <c r="CN545" s="399"/>
      <c r="CO545" s="399">
        <v>-7195.4237500000008</v>
      </c>
      <c r="CP545" s="399">
        <v>0</v>
      </c>
      <c r="CQ545" s="399">
        <v>31</v>
      </c>
      <c r="CR545" s="399">
        <v>-221.33875332129537</v>
      </c>
      <c r="CS545" s="399">
        <v>0</v>
      </c>
      <c r="CT545" s="399">
        <v>0</v>
      </c>
      <c r="CU545" s="399">
        <v>0</v>
      </c>
      <c r="CV545" s="399">
        <v>0</v>
      </c>
      <c r="CW545" s="399">
        <v>0</v>
      </c>
      <c r="CX545" s="399">
        <v>0</v>
      </c>
      <c r="CY545" s="399">
        <v>0</v>
      </c>
      <c r="CZ545" s="399">
        <v>-25.445861420531401</v>
      </c>
      <c r="DA545" s="399">
        <v>0</v>
      </c>
      <c r="DB545" s="399">
        <v>0</v>
      </c>
      <c r="DC545" s="399">
        <v>0</v>
      </c>
      <c r="DD545" s="399">
        <v>0</v>
      </c>
      <c r="DE545" s="399">
        <v>0</v>
      </c>
      <c r="DF545" s="399">
        <v>0</v>
      </c>
      <c r="DG545" s="399">
        <v>0</v>
      </c>
      <c r="DH545" s="399">
        <v>0</v>
      </c>
      <c r="DI545" s="399">
        <v>-169.82723747418868</v>
      </c>
      <c r="DJ545" s="399"/>
      <c r="DK545" s="399">
        <v>0</v>
      </c>
      <c r="DL545" s="399">
        <v>0</v>
      </c>
      <c r="DM545" s="399">
        <v>0</v>
      </c>
      <c r="DN545" s="399">
        <v>0</v>
      </c>
      <c r="DO545" s="399">
        <v>-23.28770422201228</v>
      </c>
      <c r="DP545" s="399">
        <v>-2.777950204562373</v>
      </c>
      <c r="DQ545" s="399">
        <v>0</v>
      </c>
      <c r="DR545" s="399">
        <v>0</v>
      </c>
      <c r="DS545" s="399"/>
      <c r="DT545" s="399"/>
      <c r="DU545" s="399"/>
      <c r="DV545" s="399">
        <v>16141.930734573136</v>
      </c>
      <c r="DW545" s="399">
        <v>0</v>
      </c>
      <c r="DX545" s="399">
        <v>0</v>
      </c>
      <c r="DY545" s="399">
        <v>-7195.4237500000017</v>
      </c>
      <c r="DZ545" s="399">
        <v>0</v>
      </c>
      <c r="EA545" s="399">
        <v>0</v>
      </c>
      <c r="EB545" s="399">
        <v>0</v>
      </c>
      <c r="EC545" s="399">
        <v>-6973.6269744937053</v>
      </c>
      <c r="ED545" s="399">
        <v>0</v>
      </c>
      <c r="EE545" s="399">
        <v>0</v>
      </c>
      <c r="EF545" s="399">
        <v>0</v>
      </c>
      <c r="EG545" s="399">
        <v>0</v>
      </c>
      <c r="EH545" s="399">
        <v>0</v>
      </c>
      <c r="EI545" s="399">
        <v>0</v>
      </c>
      <c r="EJ545" s="399">
        <v>0</v>
      </c>
      <c r="EK545" s="399">
        <v>0</v>
      </c>
      <c r="EL545" s="399">
        <v>0</v>
      </c>
      <c r="EM545" s="399">
        <v>0</v>
      </c>
      <c r="EN545" s="399">
        <v>0</v>
      </c>
      <c r="EO545" s="399">
        <v>0</v>
      </c>
      <c r="EP545" s="399">
        <v>0</v>
      </c>
      <c r="EQ545" s="399">
        <v>0</v>
      </c>
      <c r="ER545" s="399">
        <v>0</v>
      </c>
      <c r="ES545" s="399">
        <v>0</v>
      </c>
      <c r="ET545" s="399">
        <v>0</v>
      </c>
      <c r="EU545" s="399">
        <v>0</v>
      </c>
      <c r="EV545" s="399">
        <v>218</v>
      </c>
      <c r="EW545" s="399">
        <v>0</v>
      </c>
      <c r="EX545" s="399">
        <v>0</v>
      </c>
      <c r="EY545" s="399">
        <v>0</v>
      </c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548</v>
      </c>
      <c r="B546" s="399" t="s">
        <v>956</v>
      </c>
      <c r="C546" s="399" t="s">
        <v>2398</v>
      </c>
      <c r="D546" s="399" t="s">
        <v>533</v>
      </c>
      <c r="E546" s="399" t="s">
        <v>921</v>
      </c>
      <c r="F546" s="399" t="s">
        <v>2362</v>
      </c>
      <c r="G546" s="399" t="s">
        <v>1239</v>
      </c>
      <c r="H546" s="399" t="s">
        <v>1239</v>
      </c>
      <c r="I546" s="399" t="s">
        <v>893</v>
      </c>
      <c r="J546" s="399" t="s">
        <v>2329</v>
      </c>
      <c r="K546" s="789">
        <v>44743</v>
      </c>
      <c r="L546" s="399">
        <v>480</v>
      </c>
      <c r="M546" s="399">
        <v>451.2</v>
      </c>
      <c r="N546" s="399">
        <v>25.218</v>
      </c>
      <c r="O546" s="399">
        <v>23.704920000000001</v>
      </c>
      <c r="P546" s="399">
        <v>25.218</v>
      </c>
      <c r="Q546" s="399">
        <v>23.704920000000001</v>
      </c>
      <c r="R546" s="399">
        <v>111.06</v>
      </c>
      <c r="S546" s="399">
        <v>69.680000000000007</v>
      </c>
      <c r="T546" s="399">
        <v>141.32</v>
      </c>
      <c r="U546" s="399">
        <v>53308.800000000003</v>
      </c>
      <c r="V546" s="399">
        <v>5320.9979999999996</v>
      </c>
      <c r="W546" s="399">
        <v>58629.79800000001</v>
      </c>
      <c r="X546" s="399">
        <v>42275.343720000004</v>
      </c>
      <c r="Y546" s="399">
        <v>0</v>
      </c>
      <c r="Z546" s="399">
        <v>1331.2336821134668</v>
      </c>
      <c r="AA546" s="399">
        <v>0</v>
      </c>
      <c r="AB546" s="399">
        <v>0</v>
      </c>
      <c r="AC546" s="399">
        <v>0</v>
      </c>
      <c r="AD546" s="399">
        <v>15831.91775567568</v>
      </c>
      <c r="AE546" s="399">
        <v>37478.042639566229</v>
      </c>
      <c r="AF546" s="399">
        <v>3563.7807775466231</v>
      </c>
      <c r="AG546" s="399">
        <v>0</v>
      </c>
      <c r="AH546" s="399">
        <v>0</v>
      </c>
      <c r="AI546" s="399">
        <v>0</v>
      </c>
      <c r="AJ546" s="399">
        <v>0</v>
      </c>
      <c r="AK546" s="399">
        <v>0</v>
      </c>
      <c r="AL546" s="399">
        <v>236.59508305638298</v>
      </c>
      <c r="AM546" s="399"/>
      <c r="AN546" s="399">
        <v>15.14952215674132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174.33098555809403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>
        <v>2536.5206232000005</v>
      </c>
      <c r="BR546" s="399"/>
      <c r="BS546" s="399"/>
      <c r="BT546" s="399"/>
      <c r="BU546" s="399"/>
      <c r="BV546" s="399">
        <v>3738.1117631047173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39737.801999999996</v>
      </c>
      <c r="CJ546" s="399">
        <v>-15374.238120000009</v>
      </c>
      <c r="CK546" s="399"/>
      <c r="CL546" s="399"/>
      <c r="CM546" s="399"/>
      <c r="CN546" s="399"/>
      <c r="CO546" s="399">
        <v>-16354.454280000002</v>
      </c>
      <c r="CP546" s="399">
        <v>0</v>
      </c>
      <c r="CQ546" s="399">
        <v>31</v>
      </c>
      <c r="CR546" s="399">
        <v>-162.84240815910744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-75.402724592160666</v>
      </c>
      <c r="DA546" s="399">
        <v>0</v>
      </c>
      <c r="DB546" s="399">
        <v>0</v>
      </c>
      <c r="DC546" s="399">
        <v>0</v>
      </c>
      <c r="DD546" s="399">
        <v>0</v>
      </c>
      <c r="DE546" s="399">
        <v>0</v>
      </c>
      <c r="DF546" s="399">
        <v>0</v>
      </c>
      <c r="DG546" s="399">
        <v>0</v>
      </c>
      <c r="DH546" s="399">
        <v>0</v>
      </c>
      <c r="DI546" s="399">
        <v>-75.00657974681576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-11.822231002933194</v>
      </c>
      <c r="DP546" s="399">
        <v>-0.61087281719882291</v>
      </c>
      <c r="DQ546" s="399">
        <v>0</v>
      </c>
      <c r="DR546" s="399">
        <v>0</v>
      </c>
      <c r="DS546" s="399"/>
      <c r="DT546" s="399"/>
      <c r="DU546" s="399">
        <v>37478.042639566229</v>
      </c>
      <c r="DV546" s="399">
        <v>0</v>
      </c>
      <c r="DW546" s="399">
        <v>0</v>
      </c>
      <c r="DX546" s="399">
        <v>0</v>
      </c>
      <c r="DY546" s="399">
        <v>-16354.454280000005</v>
      </c>
      <c r="DZ546" s="399">
        <v>0</v>
      </c>
      <c r="EA546" s="399">
        <v>0</v>
      </c>
      <c r="EB546" s="399">
        <v>0</v>
      </c>
      <c r="EC546" s="399">
        <v>-16191.240899251399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0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218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549</v>
      </c>
      <c r="B547" s="399" t="s">
        <v>956</v>
      </c>
      <c r="C547" s="399" t="s">
        <v>2398</v>
      </c>
      <c r="D547" s="399" t="s">
        <v>533</v>
      </c>
      <c r="E547" s="399" t="s">
        <v>921</v>
      </c>
      <c r="F547" s="399" t="s">
        <v>2362</v>
      </c>
      <c r="G547" s="399" t="s">
        <v>1239</v>
      </c>
      <c r="H547" s="399" t="s">
        <v>1239</v>
      </c>
      <c r="I547" s="399" t="s">
        <v>2326</v>
      </c>
      <c r="J547" s="399" t="s">
        <v>2329</v>
      </c>
      <c r="K547" s="789">
        <v>44743</v>
      </c>
      <c r="L547" s="399">
        <v>483</v>
      </c>
      <c r="M547" s="399">
        <v>454.02</v>
      </c>
      <c r="N547" s="399">
        <v>241.64599999999999</v>
      </c>
      <c r="O547" s="399">
        <v>227.14724000000001</v>
      </c>
      <c r="P547" s="399">
        <v>241.64599999999999</v>
      </c>
      <c r="Q547" s="399">
        <v>227.14724000000001</v>
      </c>
      <c r="R547" s="399">
        <v>35.15</v>
      </c>
      <c r="S547" s="399">
        <v>69.680000000000007</v>
      </c>
      <c r="T547" s="399">
        <v>141.32</v>
      </c>
      <c r="U547" s="399">
        <v>16977.45</v>
      </c>
      <c r="V547" s="399">
        <v>50987.305999999997</v>
      </c>
      <c r="W547" s="399">
        <v>67964.755999999994</v>
      </c>
      <c r="X547" s="399">
        <v>62544.990839999991</v>
      </c>
      <c r="Y547" s="399">
        <v>0</v>
      </c>
      <c r="Z547" s="399">
        <v>12756.257211039367</v>
      </c>
      <c r="AA547" s="399">
        <v>0</v>
      </c>
      <c r="AB547" s="399">
        <v>0</v>
      </c>
      <c r="AC547" s="399">
        <v>0</v>
      </c>
      <c r="AD547" s="399">
        <v>6439.0533002895263</v>
      </c>
      <c r="AE547" s="399">
        <v>10538.082997879834</v>
      </c>
      <c r="AF547" s="399">
        <v>34149.154166509288</v>
      </c>
      <c r="AG547" s="399">
        <v>0</v>
      </c>
      <c r="AH547" s="399">
        <v>0</v>
      </c>
      <c r="AI547" s="399">
        <v>0</v>
      </c>
      <c r="AJ547" s="399">
        <v>0</v>
      </c>
      <c r="AK547" s="399">
        <v>0</v>
      </c>
      <c r="AL547" s="399">
        <v>2267.1209231597554</v>
      </c>
      <c r="AM547" s="399"/>
      <c r="AN547" s="399">
        <v>145.16700099484149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1670.4887515334756</v>
      </c>
      <c r="BH547" s="399">
        <v>0</v>
      </c>
      <c r="BI547" s="399">
        <v>0</v>
      </c>
      <c r="BJ547" s="399">
        <v>0</v>
      </c>
      <c r="BK547" s="399">
        <v>0</v>
      </c>
      <c r="BL547" s="399">
        <v>0</v>
      </c>
      <c r="BM547" s="399"/>
      <c r="BN547" s="399"/>
      <c r="BO547" s="399"/>
      <c r="BP547" s="399"/>
      <c r="BQ547" s="399">
        <v>3752.6994503999954</v>
      </c>
      <c r="BR547" s="399"/>
      <c r="BS547" s="399"/>
      <c r="BT547" s="399"/>
      <c r="BU547" s="399"/>
      <c r="BV547" s="399">
        <v>35819.642918042766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58792.864199999996</v>
      </c>
      <c r="CJ547" s="399">
        <v>-5094.0364400000035</v>
      </c>
      <c r="CK547" s="399"/>
      <c r="CL547" s="399"/>
      <c r="CM547" s="399"/>
      <c r="CN547" s="399"/>
      <c r="CO547" s="399">
        <v>-5419.7651600000008</v>
      </c>
      <c r="CP547" s="399">
        <v>0</v>
      </c>
      <c r="CQ547" s="399">
        <v>31</v>
      </c>
      <c r="CR547" s="399">
        <v>-868.53904880148912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-30.667299447109144</v>
      </c>
      <c r="DA547" s="399">
        <v>0</v>
      </c>
      <c r="DB547" s="399">
        <v>0</v>
      </c>
      <c r="DC547" s="399">
        <v>0</v>
      </c>
      <c r="DD547" s="399">
        <v>0</v>
      </c>
      <c r="DE547" s="399">
        <v>0</v>
      </c>
      <c r="DF547" s="399">
        <v>0</v>
      </c>
      <c r="DG547" s="399">
        <v>0</v>
      </c>
      <c r="DH547" s="399">
        <v>0</v>
      </c>
      <c r="DI547" s="399">
        <v>-718.73423623994859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-113.28395721051584</v>
      </c>
      <c r="DP547" s="399">
        <v>-5.8535559039109444</v>
      </c>
      <c r="DQ547" s="399">
        <v>0</v>
      </c>
      <c r="DR547" s="399">
        <v>0</v>
      </c>
      <c r="DS547" s="399"/>
      <c r="DT547" s="399"/>
      <c r="DU547" s="399">
        <v>10538.082997879834</v>
      </c>
      <c r="DV547" s="399">
        <v>0</v>
      </c>
      <c r="DW547" s="399">
        <v>0</v>
      </c>
      <c r="DX547" s="399">
        <v>0</v>
      </c>
      <c r="DY547" s="399">
        <v>-5419.7651600000027</v>
      </c>
      <c r="DZ547" s="399">
        <v>0</v>
      </c>
      <c r="EA547" s="399">
        <v>0</v>
      </c>
      <c r="EB547" s="399">
        <v>0</v>
      </c>
      <c r="EC547" s="399">
        <v>-4552.6561265728178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0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218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550</v>
      </c>
      <c r="B548" s="399" t="s">
        <v>956</v>
      </c>
      <c r="C548" s="399" t="s">
        <v>2398</v>
      </c>
      <c r="D548" s="399" t="s">
        <v>533</v>
      </c>
      <c r="E548" s="399" t="s">
        <v>921</v>
      </c>
      <c r="F548" s="399" t="s">
        <v>2362</v>
      </c>
      <c r="G548" s="399" t="s">
        <v>1239</v>
      </c>
      <c r="H548" s="399" t="s">
        <v>1239</v>
      </c>
      <c r="I548" s="399" t="s">
        <v>1239</v>
      </c>
      <c r="J548" s="399" t="s">
        <v>2329</v>
      </c>
      <c r="K548" s="789">
        <v>44743</v>
      </c>
      <c r="L548" s="399">
        <v>0</v>
      </c>
      <c r="M548" s="399">
        <v>0</v>
      </c>
      <c r="N548" s="399">
        <v>0</v>
      </c>
      <c r="O548" s="399">
        <v>0</v>
      </c>
      <c r="P548" s="399">
        <v>0</v>
      </c>
      <c r="Q548" s="399">
        <v>0</v>
      </c>
      <c r="R548" s="399"/>
      <c r="S548" s="399"/>
      <c r="T548" s="399"/>
      <c r="U548" s="399"/>
      <c r="V548" s="399"/>
      <c r="W548" s="399"/>
      <c r="X548" s="399"/>
      <c r="Y548" s="399"/>
      <c r="Z548" s="399"/>
      <c r="AA548" s="399">
        <v>0</v>
      </c>
      <c r="AB548" s="399"/>
      <c r="AC548" s="399"/>
      <c r="AD548" s="399"/>
      <c r="AE548" s="399"/>
      <c r="AF548" s="399"/>
      <c r="AG548" s="399"/>
      <c r="AH548" s="399"/>
      <c r="AI548" s="399"/>
      <c r="AJ548" s="399"/>
      <c r="AK548" s="399"/>
      <c r="AL548" s="399"/>
      <c r="AM548" s="399"/>
      <c r="AN548" s="399"/>
      <c r="AO548" s="399"/>
      <c r="AP548" s="399"/>
      <c r="AQ548" s="399"/>
      <c r="AR548" s="399"/>
      <c r="AS548" s="399"/>
      <c r="AT548" s="399"/>
      <c r="AU548" s="399"/>
      <c r="AV548" s="399"/>
      <c r="AW548" s="399"/>
      <c r="AX548" s="399"/>
      <c r="AY548" s="399"/>
      <c r="AZ548" s="399">
        <v>0</v>
      </c>
      <c r="BA548" s="399"/>
      <c r="BB548" s="399"/>
      <c r="BC548" s="399"/>
      <c r="BD548" s="399"/>
      <c r="BE548" s="399"/>
      <c r="BF548" s="399"/>
      <c r="BG548" s="399"/>
      <c r="BH548" s="399"/>
      <c r="BI548" s="399">
        <v>707.14</v>
      </c>
      <c r="BJ548" s="399">
        <v>3263.73</v>
      </c>
      <c r="BK548" s="399">
        <v>18069.099999999999</v>
      </c>
      <c r="BL548" s="399">
        <v>2</v>
      </c>
      <c r="BM548" s="399"/>
      <c r="BN548" s="399"/>
      <c r="BO548" s="399"/>
      <c r="BP548" s="399"/>
      <c r="BQ548" s="399"/>
      <c r="BR548" s="399"/>
      <c r="BS548" s="399"/>
      <c r="BT548" s="399"/>
      <c r="BU548" s="399"/>
      <c r="BV548" s="399"/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/>
      <c r="CJ548" s="399">
        <v>-0.03</v>
      </c>
      <c r="CK548" s="399"/>
      <c r="CL548" s="399"/>
      <c r="CM548" s="399"/>
      <c r="CN548" s="399"/>
      <c r="CO548" s="399">
        <v>0</v>
      </c>
      <c r="CP548" s="399">
        <v>0</v>
      </c>
      <c r="CQ548" s="399">
        <v>31</v>
      </c>
      <c r="CR548" s="399"/>
      <c r="CS548" s="399"/>
      <c r="CT548" s="399"/>
      <c r="CU548" s="399"/>
      <c r="CV548" s="399"/>
      <c r="CW548" s="399"/>
      <c r="CX548" s="399"/>
      <c r="CY548" s="399"/>
      <c r="CZ548" s="399"/>
      <c r="DA548" s="399"/>
      <c r="DB548" s="399"/>
      <c r="DC548" s="399"/>
      <c r="DD548" s="399"/>
      <c r="DE548" s="399"/>
      <c r="DF548" s="399"/>
      <c r="DG548" s="399"/>
      <c r="DH548" s="399"/>
      <c r="DI548" s="399"/>
      <c r="DJ548" s="399"/>
      <c r="DK548" s="399">
        <v>0</v>
      </c>
      <c r="DL548" s="399"/>
      <c r="DM548" s="399"/>
      <c r="DN548" s="399"/>
      <c r="DO548" s="399"/>
      <c r="DP548" s="399"/>
      <c r="DQ548" s="399"/>
      <c r="DR548" s="399"/>
      <c r="DS548" s="399"/>
      <c r="DT548" s="399"/>
      <c r="DU548" s="399"/>
      <c r="DV548" s="399"/>
      <c r="DW548" s="399"/>
      <c r="DX548" s="399"/>
      <c r="DY548" s="399"/>
      <c r="DZ548" s="399"/>
      <c r="EA548" s="399"/>
      <c r="EB548" s="399"/>
      <c r="EC548" s="399"/>
      <c r="ED548" s="399"/>
      <c r="EE548" s="399"/>
      <c r="EF548" s="399"/>
      <c r="EG548" s="399"/>
      <c r="EH548" s="399"/>
      <c r="EI548" s="399"/>
      <c r="EJ548" s="399"/>
      <c r="EK548" s="399"/>
      <c r="EL548" s="399"/>
      <c r="EM548" s="399"/>
      <c r="EN548" s="399"/>
      <c r="EO548" s="399"/>
      <c r="EP548" s="399"/>
      <c r="EQ548" s="399"/>
      <c r="ER548" s="399"/>
      <c r="ES548" s="399"/>
      <c r="ET548" s="399"/>
      <c r="EU548" s="399"/>
      <c r="EV548" s="399">
        <v>218</v>
      </c>
      <c r="EW548" s="399"/>
      <c r="EX548" s="399"/>
      <c r="EY548" s="399"/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551</v>
      </c>
      <c r="B549" s="399" t="s">
        <v>956</v>
      </c>
      <c r="C549" s="399" t="s">
        <v>2334</v>
      </c>
      <c r="D549" s="399" t="s">
        <v>533</v>
      </c>
      <c r="E549" s="399" t="s">
        <v>921</v>
      </c>
      <c r="F549" s="399" t="s">
        <v>2362</v>
      </c>
      <c r="G549" s="399" t="s">
        <v>1239</v>
      </c>
      <c r="H549" s="399" t="s">
        <v>1239</v>
      </c>
      <c r="I549" s="399" t="s">
        <v>893</v>
      </c>
      <c r="J549" s="399" t="s">
        <v>2329</v>
      </c>
      <c r="K549" s="789">
        <v>44743</v>
      </c>
      <c r="L549" s="399">
        <v>0</v>
      </c>
      <c r="M549" s="399">
        <v>0</v>
      </c>
      <c r="N549" s="399">
        <v>0.77600000000000002</v>
      </c>
      <c r="O549" s="399">
        <v>0.72943999999999998</v>
      </c>
      <c r="P549" s="399">
        <v>0.77600000000000002</v>
      </c>
      <c r="Q549" s="399">
        <v>0.72943999999999998</v>
      </c>
      <c r="R549" s="399"/>
      <c r="S549" s="399">
        <v>2741.05</v>
      </c>
      <c r="T549" s="399">
        <v>141.32</v>
      </c>
      <c r="U549" s="399"/>
      <c r="V549" s="399">
        <v>2236.7191200000002</v>
      </c>
      <c r="W549" s="399">
        <v>2236.7191200000002</v>
      </c>
      <c r="X549" s="399">
        <v>1601.57088</v>
      </c>
      <c r="Y549" s="399">
        <v>0</v>
      </c>
      <c r="Z549" s="399">
        <v>40.964284928227862</v>
      </c>
      <c r="AA549" s="399">
        <v>0</v>
      </c>
      <c r="AB549" s="399">
        <v>0</v>
      </c>
      <c r="AC549" s="399">
        <v>0</v>
      </c>
      <c r="AD549" s="399">
        <v>615.80370780333885</v>
      </c>
      <c r="AE549" s="399">
        <v>1457.1795795101793</v>
      </c>
      <c r="AF549" s="399">
        <v>109.66348970482115</v>
      </c>
      <c r="AG549" s="399">
        <v>0</v>
      </c>
      <c r="AH549" s="399">
        <v>0</v>
      </c>
      <c r="AI549" s="399">
        <v>0</v>
      </c>
      <c r="AJ549" s="399">
        <v>0</v>
      </c>
      <c r="AK549" s="399">
        <v>0</v>
      </c>
      <c r="AL549" s="399">
        <v>7.2804260628024897</v>
      </c>
      <c r="AM549" s="399"/>
      <c r="AN549" s="399">
        <v>0.46617611204819037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5.3644557376905766</v>
      </c>
      <c r="BH549" s="399">
        <v>0</v>
      </c>
      <c r="BI549" s="399">
        <v>0</v>
      </c>
      <c r="BJ549" s="399">
        <v>0</v>
      </c>
      <c r="BK549" s="399">
        <v>0</v>
      </c>
      <c r="BL549" s="399">
        <v>0</v>
      </c>
      <c r="BM549" s="399"/>
      <c r="BN549" s="399"/>
      <c r="BO549" s="399"/>
      <c r="BP549" s="399"/>
      <c r="BQ549" s="399">
        <v>96.094252800000092</v>
      </c>
      <c r="BR549" s="399"/>
      <c r="BS549" s="399"/>
      <c r="BT549" s="399"/>
      <c r="BU549" s="399"/>
      <c r="BV549" s="399">
        <v>115.02794544251172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1506.6324</v>
      </c>
      <c r="CJ549" s="399">
        <v>-595.91357280000057</v>
      </c>
      <c r="CK549" s="399"/>
      <c r="CL549" s="399"/>
      <c r="CM549" s="399"/>
      <c r="CN549" s="399"/>
      <c r="CO549" s="399">
        <v>-635.14824000000021</v>
      </c>
      <c r="CP549" s="399">
        <v>0</v>
      </c>
      <c r="CQ549" s="399">
        <v>31</v>
      </c>
      <c r="CR549" s="399">
        <v>-5.6235554375432457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-2.9328902599736466</v>
      </c>
      <c r="DA549" s="399">
        <v>0</v>
      </c>
      <c r="DB549" s="399">
        <v>0</v>
      </c>
      <c r="DC549" s="399">
        <v>0</v>
      </c>
      <c r="DD549" s="399">
        <v>0</v>
      </c>
      <c r="DE549" s="399">
        <v>0</v>
      </c>
      <c r="DF549" s="399">
        <v>0</v>
      </c>
      <c r="DG549" s="399">
        <v>0</v>
      </c>
      <c r="DH549" s="399">
        <v>0</v>
      </c>
      <c r="DI549" s="399">
        <v>-2.3080777969517428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-0.3637898032467346</v>
      </c>
      <c r="DP549" s="399">
        <v>-1.8797577371174823E-2</v>
      </c>
      <c r="DQ549" s="399">
        <v>0</v>
      </c>
      <c r="DR549" s="399">
        <v>0</v>
      </c>
      <c r="DS549" s="399"/>
      <c r="DT549" s="399"/>
      <c r="DU549" s="399"/>
      <c r="DV549" s="399">
        <v>1457.1795795101793</v>
      </c>
      <c r="DW549" s="399">
        <v>0</v>
      </c>
      <c r="DX549" s="399">
        <v>0</v>
      </c>
      <c r="DY549" s="399">
        <v>-635.14824000000044</v>
      </c>
      <c r="DZ549" s="399">
        <v>0</v>
      </c>
      <c r="EA549" s="399">
        <v>0</v>
      </c>
      <c r="EB549" s="399">
        <v>0</v>
      </c>
      <c r="EC549" s="399">
        <v>-629.5298244954555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0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218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552</v>
      </c>
      <c r="B550" s="399" t="s">
        <v>956</v>
      </c>
      <c r="C550" s="399" t="s">
        <v>2334</v>
      </c>
      <c r="D550" s="399" t="s">
        <v>533</v>
      </c>
      <c r="E550" s="399" t="s">
        <v>921</v>
      </c>
      <c r="F550" s="399" t="s">
        <v>2362</v>
      </c>
      <c r="G550" s="399" t="s">
        <v>1239</v>
      </c>
      <c r="H550" s="399" t="s">
        <v>1239</v>
      </c>
      <c r="I550" s="399" t="s">
        <v>2326</v>
      </c>
      <c r="J550" s="399" t="s">
        <v>2329</v>
      </c>
      <c r="K550" s="789">
        <v>44743</v>
      </c>
      <c r="L550" s="399">
        <v>0</v>
      </c>
      <c r="M550" s="399">
        <v>0</v>
      </c>
      <c r="N550" s="399">
        <v>7.66</v>
      </c>
      <c r="O550" s="399">
        <v>7.2004000000000001</v>
      </c>
      <c r="P550" s="399">
        <v>7.66</v>
      </c>
      <c r="Q550" s="399">
        <v>7.2004000000000001</v>
      </c>
      <c r="R550" s="399"/>
      <c r="S550" s="399">
        <v>69.680000000000007</v>
      </c>
      <c r="T550" s="399">
        <v>141.32</v>
      </c>
      <c r="U550" s="399"/>
      <c r="V550" s="399">
        <v>1616.26</v>
      </c>
      <c r="W550" s="399">
        <v>1616.26</v>
      </c>
      <c r="X550" s="399">
        <v>1589.7564</v>
      </c>
      <c r="Y550" s="399">
        <v>0</v>
      </c>
      <c r="Z550" s="399">
        <v>404.36394658534203</v>
      </c>
      <c r="AA550" s="399">
        <v>0</v>
      </c>
      <c r="AB550" s="399">
        <v>0</v>
      </c>
      <c r="AC550" s="399">
        <v>0</v>
      </c>
      <c r="AD550" s="399">
        <v>0</v>
      </c>
      <c r="AE550" s="399">
        <v>0</v>
      </c>
      <c r="AF550" s="399">
        <v>1082.5030040450129</v>
      </c>
      <c r="AG550" s="399">
        <v>0</v>
      </c>
      <c r="AH550" s="399">
        <v>0</v>
      </c>
      <c r="AI550" s="399">
        <v>0</v>
      </c>
      <c r="AJ550" s="399">
        <v>0</v>
      </c>
      <c r="AK550" s="399">
        <v>0</v>
      </c>
      <c r="AL550" s="399">
        <v>71.866061393127666</v>
      </c>
      <c r="AM550" s="399"/>
      <c r="AN550" s="399">
        <v>4.6016868792385806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52.953261534419866</v>
      </c>
      <c r="BH550" s="399">
        <v>0</v>
      </c>
      <c r="BI550" s="399">
        <v>0</v>
      </c>
      <c r="BJ550" s="399">
        <v>0</v>
      </c>
      <c r="BK550" s="399">
        <v>0</v>
      </c>
      <c r="BL550" s="399">
        <v>0</v>
      </c>
      <c r="BM550" s="399"/>
      <c r="BN550" s="399"/>
      <c r="BO550" s="399"/>
      <c r="BP550" s="399"/>
      <c r="BQ550" s="399">
        <v>95.385384000000002</v>
      </c>
      <c r="BR550" s="399"/>
      <c r="BS550" s="399"/>
      <c r="BT550" s="399"/>
      <c r="BU550" s="399"/>
      <c r="BV550" s="399">
        <v>1135.4562655794327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1494.288</v>
      </c>
      <c r="CJ550" s="399">
        <v>-25.026399999999967</v>
      </c>
      <c r="CK550" s="399"/>
      <c r="CL550" s="399"/>
      <c r="CM550" s="399"/>
      <c r="CN550" s="399"/>
      <c r="CO550" s="399">
        <v>-26.503600000000063</v>
      </c>
      <c r="CP550" s="399">
        <v>0</v>
      </c>
      <c r="CQ550" s="399">
        <v>31</v>
      </c>
      <c r="CR550" s="399">
        <v>-26.559916572401335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0</v>
      </c>
      <c r="DA550" s="399">
        <v>0</v>
      </c>
      <c r="DB550" s="399">
        <v>0</v>
      </c>
      <c r="DC550" s="399">
        <v>0</v>
      </c>
      <c r="DD550" s="399">
        <v>0</v>
      </c>
      <c r="DE550" s="399">
        <v>0</v>
      </c>
      <c r="DF550" s="399">
        <v>0</v>
      </c>
      <c r="DG550" s="399">
        <v>0</v>
      </c>
      <c r="DH550" s="399">
        <v>0</v>
      </c>
      <c r="DI550" s="399">
        <v>-22.783345263724698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-3.5910179031829728</v>
      </c>
      <c r="DP550" s="399">
        <v>-0.18555340549381327</v>
      </c>
      <c r="DQ550" s="399">
        <v>0</v>
      </c>
      <c r="DR550" s="399">
        <v>0</v>
      </c>
      <c r="DS550" s="399"/>
      <c r="DT550" s="399"/>
      <c r="DU550" s="399"/>
      <c r="DV550" s="399">
        <v>0</v>
      </c>
      <c r="DW550" s="399">
        <v>0</v>
      </c>
      <c r="DX550" s="399">
        <v>0</v>
      </c>
      <c r="DY550" s="399">
        <v>-26.503600000000063</v>
      </c>
      <c r="DZ550" s="399">
        <v>0</v>
      </c>
      <c r="EA550" s="399">
        <v>0</v>
      </c>
      <c r="EB550" s="399">
        <v>0</v>
      </c>
      <c r="EC550" s="399">
        <v>0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0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218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553</v>
      </c>
      <c r="B551" s="399" t="s">
        <v>956</v>
      </c>
      <c r="C551" s="399" t="s">
        <v>2334</v>
      </c>
      <c r="D551" s="399" t="s">
        <v>533</v>
      </c>
      <c r="E551" s="399" t="s">
        <v>921</v>
      </c>
      <c r="F551" s="399" t="s">
        <v>2362</v>
      </c>
      <c r="G551" s="399" t="s">
        <v>1239</v>
      </c>
      <c r="H551" s="399" t="s">
        <v>1239</v>
      </c>
      <c r="I551" s="399" t="s">
        <v>1239</v>
      </c>
      <c r="J551" s="399" t="s">
        <v>2329</v>
      </c>
      <c r="K551" s="789">
        <v>44743</v>
      </c>
      <c r="L551" s="399">
        <v>88</v>
      </c>
      <c r="M551" s="399">
        <v>82.72</v>
      </c>
      <c r="N551" s="399">
        <v>0</v>
      </c>
      <c r="O551" s="399">
        <v>0</v>
      </c>
      <c r="P551" s="399">
        <v>0</v>
      </c>
      <c r="Q551" s="399">
        <v>0</v>
      </c>
      <c r="R551" s="399">
        <v>35.15</v>
      </c>
      <c r="S551" s="399"/>
      <c r="T551" s="399"/>
      <c r="U551" s="399">
        <v>3093.2</v>
      </c>
      <c r="V551" s="399"/>
      <c r="W551" s="399">
        <v>3093.2</v>
      </c>
      <c r="X551" s="399">
        <v>2258.08</v>
      </c>
      <c r="Y551" s="399">
        <v>0</v>
      </c>
      <c r="Z551" s="399">
        <v>0</v>
      </c>
      <c r="AA551" s="399">
        <v>0</v>
      </c>
      <c r="AB551" s="399">
        <v>0</v>
      </c>
      <c r="AC551" s="399">
        <v>0</v>
      </c>
      <c r="AD551" s="399">
        <v>1173.1608497421912</v>
      </c>
      <c r="AE551" s="399">
        <v>1919.9819954729305</v>
      </c>
      <c r="AF551" s="399"/>
      <c r="AG551" s="399"/>
      <c r="AH551" s="399"/>
      <c r="AI551" s="399">
        <v>0</v>
      </c>
      <c r="AJ551" s="399">
        <v>0</v>
      </c>
      <c r="AK551" s="399">
        <v>0</v>
      </c>
      <c r="AL551" s="399">
        <v>0</v>
      </c>
      <c r="AM551" s="399"/>
      <c r="AN551" s="399">
        <v>0</v>
      </c>
      <c r="AO551" s="399">
        <v>0</v>
      </c>
      <c r="AP551" s="399">
        <v>0</v>
      </c>
      <c r="AQ551" s="399">
        <v>0</v>
      </c>
      <c r="AR551" s="399">
        <v>0</v>
      </c>
      <c r="AS551" s="399"/>
      <c r="AT551" s="399"/>
      <c r="AU551" s="399">
        <v>0</v>
      </c>
      <c r="AV551" s="399">
        <v>0</v>
      </c>
      <c r="AW551" s="399">
        <v>0</v>
      </c>
      <c r="AX551" s="399"/>
      <c r="AY551" s="399"/>
      <c r="AZ551" s="399">
        <v>0</v>
      </c>
      <c r="BA551" s="399"/>
      <c r="BB551" s="399">
        <v>0</v>
      </c>
      <c r="BC551" s="399">
        <v>0</v>
      </c>
      <c r="BD551" s="399">
        <v>0</v>
      </c>
      <c r="BE551" s="399">
        <v>0</v>
      </c>
      <c r="BF551" s="399"/>
      <c r="BG551" s="399">
        <v>0</v>
      </c>
      <c r="BH551" s="399">
        <v>0</v>
      </c>
      <c r="BI551" s="399">
        <v>36.76</v>
      </c>
      <c r="BJ551" s="399">
        <v>169.67</v>
      </c>
      <c r="BK551" s="399">
        <v>1158.42</v>
      </c>
      <c r="BL551" s="399">
        <v>1</v>
      </c>
      <c r="BM551" s="399"/>
      <c r="BN551" s="399"/>
      <c r="BO551" s="399"/>
      <c r="BP551" s="399"/>
      <c r="BQ551" s="399">
        <v>135.48480000000004</v>
      </c>
      <c r="BR551" s="399"/>
      <c r="BS551" s="399"/>
      <c r="BT551" s="399"/>
      <c r="BU551" s="399"/>
      <c r="BV551" s="399">
        <v>0</v>
      </c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>
        <v>2122.5952000000002</v>
      </c>
      <c r="CJ551" s="399">
        <v>-785.04280000000017</v>
      </c>
      <c r="CK551" s="399"/>
      <c r="CL551" s="399"/>
      <c r="CM551" s="399"/>
      <c r="CN551" s="399"/>
      <c r="CO551" s="399">
        <v>-835.11999999999989</v>
      </c>
      <c r="CP551" s="399">
        <v>0</v>
      </c>
      <c r="CQ551" s="399">
        <v>31</v>
      </c>
      <c r="CR551" s="399">
        <v>-5.5874168764919432</v>
      </c>
      <c r="CS551" s="399">
        <v>0</v>
      </c>
      <c r="CT551" s="399">
        <v>0</v>
      </c>
      <c r="CU551" s="399">
        <v>0</v>
      </c>
      <c r="CV551" s="399">
        <v>0</v>
      </c>
      <c r="CW551" s="399"/>
      <c r="CX551" s="399"/>
      <c r="CY551" s="399"/>
      <c r="CZ551" s="399">
        <v>-5.5874168764919432</v>
      </c>
      <c r="DA551" s="399">
        <v>0</v>
      </c>
      <c r="DB551" s="399">
        <v>0</v>
      </c>
      <c r="DC551" s="399"/>
      <c r="DD551" s="399"/>
      <c r="DE551" s="399">
        <v>0</v>
      </c>
      <c r="DF551" s="399">
        <v>0</v>
      </c>
      <c r="DG551" s="399">
        <v>0</v>
      </c>
      <c r="DH551" s="399">
        <v>0</v>
      </c>
      <c r="DI551" s="399">
        <v>0</v>
      </c>
      <c r="DJ551" s="399"/>
      <c r="DK551" s="399">
        <v>0</v>
      </c>
      <c r="DL551" s="399">
        <v>0</v>
      </c>
      <c r="DM551" s="399"/>
      <c r="DN551" s="399">
        <v>0</v>
      </c>
      <c r="DO551" s="399">
        <v>0</v>
      </c>
      <c r="DP551" s="399">
        <v>0</v>
      </c>
      <c r="DQ551" s="399">
        <v>0</v>
      </c>
      <c r="DR551" s="399">
        <v>0</v>
      </c>
      <c r="DS551" s="399"/>
      <c r="DT551" s="399"/>
      <c r="DU551" s="399">
        <v>1919.9819954729305</v>
      </c>
      <c r="DV551" s="399"/>
      <c r="DW551" s="399">
        <v>0</v>
      </c>
      <c r="DX551" s="399">
        <v>0</v>
      </c>
      <c r="DY551" s="399">
        <v>-835.11999999999989</v>
      </c>
      <c r="DZ551" s="399"/>
      <c r="EA551" s="399">
        <v>0</v>
      </c>
      <c r="EB551" s="399"/>
      <c r="EC551" s="399">
        <v>-829.46943920995454</v>
      </c>
      <c r="ED551" s="399"/>
      <c r="EE551" s="399">
        <v>0</v>
      </c>
      <c r="EF551" s="399">
        <v>0</v>
      </c>
      <c r="EG551" s="399"/>
      <c r="EH551" s="399">
        <v>0</v>
      </c>
      <c r="EI551" s="399">
        <v>0</v>
      </c>
      <c r="EJ551" s="399">
        <v>0</v>
      </c>
      <c r="EK551" s="399">
        <v>0</v>
      </c>
      <c r="EL551" s="399">
        <v>0</v>
      </c>
      <c r="EM551" s="399"/>
      <c r="EN551" s="399"/>
      <c r="EO551" s="399">
        <v>0</v>
      </c>
      <c r="EP551" s="399">
        <v>0</v>
      </c>
      <c r="EQ551" s="399"/>
      <c r="ER551" s="399">
        <v>0</v>
      </c>
      <c r="ES551" s="399"/>
      <c r="ET551" s="399">
        <v>0</v>
      </c>
      <c r="EU551" s="399"/>
      <c r="EV551" s="399">
        <v>218</v>
      </c>
      <c r="EW551" s="399"/>
      <c r="EX551" s="399"/>
      <c r="EY551" s="399"/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554</v>
      </c>
      <c r="B552" s="399" t="s">
        <v>956</v>
      </c>
      <c r="C552" s="399" t="s">
        <v>2328</v>
      </c>
      <c r="D552" s="399" t="s">
        <v>2335</v>
      </c>
      <c r="E552" s="399" t="s">
        <v>894</v>
      </c>
      <c r="F552" s="399" t="s">
        <v>2363</v>
      </c>
      <c r="G552" s="399" t="s">
        <v>2340</v>
      </c>
      <c r="H552" s="399" t="s">
        <v>1239</v>
      </c>
      <c r="I552" s="399" t="s">
        <v>1239</v>
      </c>
      <c r="J552" s="399" t="s">
        <v>2329</v>
      </c>
      <c r="K552" s="789">
        <v>44743</v>
      </c>
      <c r="L552" s="399">
        <v>0</v>
      </c>
      <c r="M552" s="399">
        <v>0</v>
      </c>
      <c r="N552" s="399">
        <v>0</v>
      </c>
      <c r="O552" s="399">
        <v>0</v>
      </c>
      <c r="P552" s="399">
        <v>0</v>
      </c>
      <c r="Q552" s="399">
        <v>0</v>
      </c>
      <c r="R552" s="399"/>
      <c r="S552" s="399"/>
      <c r="T552" s="399"/>
      <c r="U552" s="399"/>
      <c r="V552" s="399"/>
      <c r="W552" s="399"/>
      <c r="X552" s="399"/>
      <c r="Y552" s="399"/>
      <c r="Z552" s="399"/>
      <c r="AA552" s="399">
        <v>0</v>
      </c>
      <c r="AB552" s="399"/>
      <c r="AC552" s="399"/>
      <c r="AD552" s="399"/>
      <c r="AE552" s="399"/>
      <c r="AF552" s="399"/>
      <c r="AG552" s="399"/>
      <c r="AH552" s="399"/>
      <c r="AI552" s="399"/>
      <c r="AJ552" s="399"/>
      <c r="AK552" s="399"/>
      <c r="AL552" s="399"/>
      <c r="AM552" s="399"/>
      <c r="AN552" s="399"/>
      <c r="AO552" s="399"/>
      <c r="AP552" s="399"/>
      <c r="AQ552" s="399"/>
      <c r="AR552" s="399"/>
      <c r="AS552" s="399"/>
      <c r="AT552" s="399"/>
      <c r="AU552" s="399"/>
      <c r="AV552" s="399"/>
      <c r="AW552" s="399"/>
      <c r="AX552" s="399"/>
      <c r="AY552" s="399"/>
      <c r="AZ552" s="399">
        <v>0</v>
      </c>
      <c r="BA552" s="399"/>
      <c r="BB552" s="399"/>
      <c r="BC552" s="399"/>
      <c r="BD552" s="399"/>
      <c r="BE552" s="399"/>
      <c r="BF552" s="399"/>
      <c r="BG552" s="399"/>
      <c r="BH552" s="399"/>
      <c r="BI552" s="399">
        <v>12.58</v>
      </c>
      <c r="BJ552" s="399">
        <v>58.7</v>
      </c>
      <c r="BK552" s="399">
        <v>289.11</v>
      </c>
      <c r="BL552" s="399">
        <v>23</v>
      </c>
      <c r="BM552" s="399"/>
      <c r="BN552" s="399"/>
      <c r="BO552" s="399"/>
      <c r="BP552" s="399"/>
      <c r="BQ552" s="399"/>
      <c r="BR552" s="399"/>
      <c r="BS552" s="399"/>
      <c r="BT552" s="399"/>
      <c r="BU552" s="399"/>
      <c r="BV552" s="399"/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/>
      <c r="CJ552" s="399">
        <v>-0.03</v>
      </c>
      <c r="CK552" s="399"/>
      <c r="CL552" s="399"/>
      <c r="CM552" s="399"/>
      <c r="CN552" s="399"/>
      <c r="CO552" s="399">
        <v>0</v>
      </c>
      <c r="CP552" s="399">
        <v>0</v>
      </c>
      <c r="CQ552" s="399">
        <v>31</v>
      </c>
      <c r="CR552" s="399"/>
      <c r="CS552" s="399"/>
      <c r="CT552" s="399"/>
      <c r="CU552" s="399"/>
      <c r="CV552" s="399"/>
      <c r="CW552" s="399"/>
      <c r="CX552" s="399"/>
      <c r="CY552" s="399"/>
      <c r="CZ552" s="399"/>
      <c r="DA552" s="399"/>
      <c r="DB552" s="399"/>
      <c r="DC552" s="399"/>
      <c r="DD552" s="399"/>
      <c r="DE552" s="399"/>
      <c r="DF552" s="399"/>
      <c r="DG552" s="399"/>
      <c r="DH552" s="399"/>
      <c r="DI552" s="399"/>
      <c r="DJ552" s="399"/>
      <c r="DK552" s="399">
        <v>0</v>
      </c>
      <c r="DL552" s="399"/>
      <c r="DM552" s="399"/>
      <c r="DN552" s="399"/>
      <c r="DO552" s="399"/>
      <c r="DP552" s="399"/>
      <c r="DQ552" s="399"/>
      <c r="DR552" s="399"/>
      <c r="DS552" s="399"/>
      <c r="DT552" s="399"/>
      <c r="DU552" s="399"/>
      <c r="DV552" s="399"/>
      <c r="DW552" s="399"/>
      <c r="DX552" s="399"/>
      <c r="DY552" s="399"/>
      <c r="DZ552" s="399"/>
      <c r="EA552" s="399"/>
      <c r="EB552" s="399"/>
      <c r="EC552" s="399"/>
      <c r="ED552" s="399"/>
      <c r="EE552" s="399"/>
      <c r="EF552" s="399"/>
      <c r="EG552" s="399"/>
      <c r="EH552" s="399"/>
      <c r="EI552" s="399"/>
      <c r="EJ552" s="399"/>
      <c r="EK552" s="399"/>
      <c r="EL552" s="399"/>
      <c r="EM552" s="399"/>
      <c r="EN552" s="399"/>
      <c r="EO552" s="399"/>
      <c r="EP552" s="399"/>
      <c r="EQ552" s="399"/>
      <c r="ER552" s="399"/>
      <c r="ES552" s="399"/>
      <c r="ET552" s="399"/>
      <c r="EU552" s="399"/>
      <c r="EV552" s="399">
        <v>218</v>
      </c>
      <c r="EW552" s="399"/>
      <c r="EX552" s="399"/>
      <c r="EY552" s="399"/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555</v>
      </c>
      <c r="B553" s="399" t="s">
        <v>2360</v>
      </c>
      <c r="C553" s="399" t="s">
        <v>2328</v>
      </c>
      <c r="D553" s="399" t="s">
        <v>2335</v>
      </c>
      <c r="E553" s="399" t="s">
        <v>894</v>
      </c>
      <c r="F553" s="399" t="s">
        <v>2363</v>
      </c>
      <c r="G553" s="399" t="s">
        <v>2340</v>
      </c>
      <c r="H553" s="399" t="s">
        <v>1239</v>
      </c>
      <c r="I553" s="399" t="s">
        <v>1239</v>
      </c>
      <c r="J553" s="399" t="s">
        <v>2329</v>
      </c>
      <c r="K553" s="789">
        <v>44743</v>
      </c>
      <c r="L553" s="399">
        <v>0</v>
      </c>
      <c r="M553" s="399">
        <v>0</v>
      </c>
      <c r="N553" s="399">
        <v>0</v>
      </c>
      <c r="O553" s="399">
        <v>0</v>
      </c>
      <c r="P553" s="399">
        <v>0</v>
      </c>
      <c r="Q553" s="399">
        <v>0</v>
      </c>
      <c r="R553" s="399"/>
      <c r="S553" s="399"/>
      <c r="T553" s="399"/>
      <c r="U553" s="399"/>
      <c r="V553" s="399"/>
      <c r="W553" s="399"/>
      <c r="X553" s="399"/>
      <c r="Y553" s="399"/>
      <c r="Z553" s="399"/>
      <c r="AA553" s="399">
        <v>0</v>
      </c>
      <c r="AB553" s="399"/>
      <c r="AC553" s="399"/>
      <c r="AD553" s="399"/>
      <c r="AE553" s="399"/>
      <c r="AF553" s="399"/>
      <c r="AG553" s="399"/>
      <c r="AH553" s="399"/>
      <c r="AI553" s="399"/>
      <c r="AJ553" s="399"/>
      <c r="AK553" s="399"/>
      <c r="AL553" s="399"/>
      <c r="AM553" s="399"/>
      <c r="AN553" s="399"/>
      <c r="AO553" s="399"/>
      <c r="AP553" s="399"/>
      <c r="AQ553" s="399"/>
      <c r="AR553" s="399"/>
      <c r="AS553" s="399"/>
      <c r="AT553" s="399"/>
      <c r="AU553" s="399"/>
      <c r="AV553" s="399"/>
      <c r="AW553" s="399"/>
      <c r="AX553" s="399"/>
      <c r="AY553" s="399"/>
      <c r="AZ553" s="399">
        <v>0</v>
      </c>
      <c r="BA553" s="399"/>
      <c r="BB553" s="399"/>
      <c r="BC553" s="399"/>
      <c r="BD553" s="399"/>
      <c r="BE553" s="399"/>
      <c r="BF553" s="399"/>
      <c r="BG553" s="399"/>
      <c r="BH553" s="399"/>
      <c r="BI553" s="399">
        <v>-1.56</v>
      </c>
      <c r="BJ553" s="399">
        <v>-7.21</v>
      </c>
      <c r="BK553" s="399">
        <v>-24.23</v>
      </c>
      <c r="BL553" s="399">
        <v>0</v>
      </c>
      <c r="BM553" s="399"/>
      <c r="BN553" s="399"/>
      <c r="BO553" s="399"/>
      <c r="BP553" s="399"/>
      <c r="BQ553" s="399"/>
      <c r="BR553" s="399"/>
      <c r="BS553" s="399"/>
      <c r="BT553" s="399"/>
      <c r="BU553" s="399"/>
      <c r="BV553" s="399"/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/>
      <c r="CJ553" s="399">
        <v>-0.03</v>
      </c>
      <c r="CK553" s="399"/>
      <c r="CL553" s="399"/>
      <c r="CM553" s="399"/>
      <c r="CN553" s="399"/>
      <c r="CO553" s="399">
        <v>0</v>
      </c>
      <c r="CP553" s="399">
        <v>0</v>
      </c>
      <c r="CQ553" s="399">
        <v>31</v>
      </c>
      <c r="CR553" s="399"/>
      <c r="CS553" s="399"/>
      <c r="CT553" s="399"/>
      <c r="CU553" s="399"/>
      <c r="CV553" s="399"/>
      <c r="CW553" s="399"/>
      <c r="CX553" s="399"/>
      <c r="CY553" s="399"/>
      <c r="CZ553" s="399"/>
      <c r="DA553" s="399"/>
      <c r="DB553" s="399"/>
      <c r="DC553" s="399"/>
      <c r="DD553" s="399"/>
      <c r="DE553" s="399"/>
      <c r="DF553" s="399"/>
      <c r="DG553" s="399"/>
      <c r="DH553" s="399"/>
      <c r="DI553" s="399"/>
      <c r="DJ553" s="399"/>
      <c r="DK553" s="399">
        <v>0</v>
      </c>
      <c r="DL553" s="399"/>
      <c r="DM553" s="399"/>
      <c r="DN553" s="399"/>
      <c r="DO553" s="399"/>
      <c r="DP553" s="399"/>
      <c r="DQ553" s="399"/>
      <c r="DR553" s="399"/>
      <c r="DS553" s="399"/>
      <c r="DT553" s="399"/>
      <c r="DU553" s="399"/>
      <c r="DV553" s="399"/>
      <c r="DW553" s="399"/>
      <c r="DX553" s="399"/>
      <c r="DY553" s="399"/>
      <c r="DZ553" s="399"/>
      <c r="EA553" s="399"/>
      <c r="EB553" s="399"/>
      <c r="EC553" s="399"/>
      <c r="ED553" s="399"/>
      <c r="EE553" s="399"/>
      <c r="EF553" s="399"/>
      <c r="EG553" s="399"/>
      <c r="EH553" s="399"/>
      <c r="EI553" s="399"/>
      <c r="EJ553" s="399"/>
      <c r="EK553" s="399"/>
      <c r="EL553" s="399"/>
      <c r="EM553" s="399"/>
      <c r="EN553" s="399"/>
      <c r="EO553" s="399"/>
      <c r="EP553" s="399"/>
      <c r="EQ553" s="399"/>
      <c r="ER553" s="399"/>
      <c r="ES553" s="399"/>
      <c r="ET553" s="399"/>
      <c r="EU553" s="399"/>
      <c r="EV553" s="399">
        <v>218</v>
      </c>
      <c r="EW553" s="399"/>
      <c r="EX553" s="399"/>
      <c r="EY553" s="399"/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556</v>
      </c>
      <c r="B554" s="399" t="s">
        <v>2361</v>
      </c>
      <c r="C554" s="399" t="s">
        <v>2328</v>
      </c>
      <c r="D554" s="399" t="s">
        <v>2335</v>
      </c>
      <c r="E554" s="399" t="s">
        <v>894</v>
      </c>
      <c r="F554" s="399" t="s">
        <v>2363</v>
      </c>
      <c r="G554" s="399" t="s">
        <v>2340</v>
      </c>
      <c r="H554" s="399" t="s">
        <v>1239</v>
      </c>
      <c r="I554" s="399" t="s">
        <v>1239</v>
      </c>
      <c r="J554" s="399" t="s">
        <v>2329</v>
      </c>
      <c r="K554" s="789">
        <v>44743</v>
      </c>
      <c r="L554" s="399">
        <v>0</v>
      </c>
      <c r="M554" s="399">
        <v>0</v>
      </c>
      <c r="N554" s="399">
        <v>0</v>
      </c>
      <c r="O554" s="399">
        <v>0</v>
      </c>
      <c r="P554" s="399">
        <v>0</v>
      </c>
      <c r="Q554" s="399">
        <v>0</v>
      </c>
      <c r="R554" s="399"/>
      <c r="S554" s="399"/>
      <c r="T554" s="399"/>
      <c r="U554" s="399"/>
      <c r="V554" s="399"/>
      <c r="W554" s="399"/>
      <c r="X554" s="399"/>
      <c r="Y554" s="399"/>
      <c r="Z554" s="399"/>
      <c r="AA554" s="399">
        <v>0</v>
      </c>
      <c r="AB554" s="399"/>
      <c r="AC554" s="399"/>
      <c r="AD554" s="399"/>
      <c r="AE554" s="399"/>
      <c r="AF554" s="399"/>
      <c r="AG554" s="399"/>
      <c r="AH554" s="399"/>
      <c r="AI554" s="399"/>
      <c r="AJ554" s="399"/>
      <c r="AK554" s="399"/>
      <c r="AL554" s="399"/>
      <c r="AM554" s="399"/>
      <c r="AN554" s="399"/>
      <c r="AO554" s="399"/>
      <c r="AP554" s="399"/>
      <c r="AQ554" s="399"/>
      <c r="AR554" s="399"/>
      <c r="AS554" s="399"/>
      <c r="AT554" s="399"/>
      <c r="AU554" s="399"/>
      <c r="AV554" s="399"/>
      <c r="AW554" s="399"/>
      <c r="AX554" s="399"/>
      <c r="AY554" s="399"/>
      <c r="AZ554" s="399">
        <v>0</v>
      </c>
      <c r="BA554" s="399"/>
      <c r="BB554" s="399"/>
      <c r="BC554" s="399"/>
      <c r="BD554" s="399"/>
      <c r="BE554" s="399"/>
      <c r="BF554" s="399"/>
      <c r="BG554" s="399"/>
      <c r="BH554" s="399"/>
      <c r="BI554" s="399">
        <v>0.34</v>
      </c>
      <c r="BJ554" s="399">
        <v>1.62</v>
      </c>
      <c r="BK554" s="399">
        <v>7.69</v>
      </c>
      <c r="BL554" s="399">
        <v>1</v>
      </c>
      <c r="BM554" s="399"/>
      <c r="BN554" s="399"/>
      <c r="BO554" s="399"/>
      <c r="BP554" s="399"/>
      <c r="BQ554" s="399"/>
      <c r="BR554" s="399"/>
      <c r="BS554" s="399"/>
      <c r="BT554" s="399"/>
      <c r="BU554" s="399"/>
      <c r="BV554" s="399"/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/>
      <c r="CJ554" s="399">
        <v>-0.03</v>
      </c>
      <c r="CK554" s="399"/>
      <c r="CL554" s="399"/>
      <c r="CM554" s="399"/>
      <c r="CN554" s="399"/>
      <c r="CO554" s="399">
        <v>0</v>
      </c>
      <c r="CP554" s="399">
        <v>0</v>
      </c>
      <c r="CQ554" s="399">
        <v>31</v>
      </c>
      <c r="CR554" s="399"/>
      <c r="CS554" s="399"/>
      <c r="CT554" s="399"/>
      <c r="CU554" s="399"/>
      <c r="CV554" s="399"/>
      <c r="CW554" s="399"/>
      <c r="CX554" s="399"/>
      <c r="CY554" s="399"/>
      <c r="CZ554" s="399"/>
      <c r="DA554" s="399"/>
      <c r="DB554" s="399"/>
      <c r="DC554" s="399"/>
      <c r="DD554" s="399"/>
      <c r="DE554" s="399"/>
      <c r="DF554" s="399"/>
      <c r="DG554" s="399"/>
      <c r="DH554" s="399"/>
      <c r="DI554" s="399"/>
      <c r="DJ554" s="399"/>
      <c r="DK554" s="399">
        <v>0</v>
      </c>
      <c r="DL554" s="399"/>
      <c r="DM554" s="399"/>
      <c r="DN554" s="399"/>
      <c r="DO554" s="399"/>
      <c r="DP554" s="399"/>
      <c r="DQ554" s="399"/>
      <c r="DR554" s="399"/>
      <c r="DS554" s="399"/>
      <c r="DT554" s="399"/>
      <c r="DU554" s="399"/>
      <c r="DV554" s="399"/>
      <c r="DW554" s="399"/>
      <c r="DX554" s="399"/>
      <c r="DY554" s="399"/>
      <c r="DZ554" s="399"/>
      <c r="EA554" s="399"/>
      <c r="EB554" s="399"/>
      <c r="EC554" s="399"/>
      <c r="ED554" s="399"/>
      <c r="EE554" s="399"/>
      <c r="EF554" s="399"/>
      <c r="EG554" s="399"/>
      <c r="EH554" s="399"/>
      <c r="EI554" s="399"/>
      <c r="EJ554" s="399"/>
      <c r="EK554" s="399"/>
      <c r="EL554" s="399"/>
      <c r="EM554" s="399"/>
      <c r="EN554" s="399"/>
      <c r="EO554" s="399"/>
      <c r="EP554" s="399"/>
      <c r="EQ554" s="399"/>
      <c r="ER554" s="399"/>
      <c r="ES554" s="399"/>
      <c r="ET554" s="399"/>
      <c r="EU554" s="399"/>
      <c r="EV554" s="399">
        <v>218</v>
      </c>
      <c r="EW554" s="399"/>
      <c r="EX554" s="399"/>
      <c r="EY554" s="399"/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557</v>
      </c>
      <c r="B555" s="399" t="s">
        <v>956</v>
      </c>
      <c r="C555" s="399" t="s">
        <v>2328</v>
      </c>
      <c r="D555" s="399" t="s">
        <v>2335</v>
      </c>
      <c r="E555" s="399" t="s">
        <v>894</v>
      </c>
      <c r="F555" s="399" t="s">
        <v>2363</v>
      </c>
      <c r="G555" s="399" t="s">
        <v>2340</v>
      </c>
      <c r="H555" s="399" t="s">
        <v>1239</v>
      </c>
      <c r="I555" s="399" t="s">
        <v>1239</v>
      </c>
      <c r="J555" s="399" t="s">
        <v>2329</v>
      </c>
      <c r="K555" s="789">
        <v>44743</v>
      </c>
      <c r="L555" s="399">
        <v>0</v>
      </c>
      <c r="M555" s="399">
        <v>0</v>
      </c>
      <c r="N555" s="399">
        <v>2.78</v>
      </c>
      <c r="O555" s="399">
        <v>2.78</v>
      </c>
      <c r="P555" s="399">
        <v>2.78</v>
      </c>
      <c r="Q555" s="399">
        <v>2.78</v>
      </c>
      <c r="R555" s="399"/>
      <c r="S555" s="399">
        <v>521.86</v>
      </c>
      <c r="T555" s="399">
        <v>141.32</v>
      </c>
      <c r="U555" s="399"/>
      <c r="V555" s="399">
        <v>1843.6404</v>
      </c>
      <c r="W555" s="399">
        <v>1843.6404</v>
      </c>
      <c r="X555" s="399">
        <v>1440.9573999999998</v>
      </c>
      <c r="Y555" s="399">
        <v>0</v>
      </c>
      <c r="Z555" s="399">
        <v>168.68217813199644</v>
      </c>
      <c r="AA555" s="399">
        <v>0</v>
      </c>
      <c r="AB555" s="399">
        <v>0</v>
      </c>
      <c r="AC555" s="399">
        <v>0</v>
      </c>
      <c r="AD555" s="399">
        <v>298.99957018064606</v>
      </c>
      <c r="AE555" s="399">
        <v>903.36320970535121</v>
      </c>
      <c r="AF555" s="399">
        <v>392.8666254889211</v>
      </c>
      <c r="AG555" s="399">
        <v>0</v>
      </c>
      <c r="AH555" s="399">
        <v>0</v>
      </c>
      <c r="AI555" s="399">
        <v>0</v>
      </c>
      <c r="AJ555" s="399">
        <v>0</v>
      </c>
      <c r="AK555" s="399">
        <v>0</v>
      </c>
      <c r="AL555" s="399">
        <v>26.081938730142937</v>
      </c>
      <c r="AM555" s="399"/>
      <c r="AN555" s="399">
        <v>3.8554893800625845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49.775616470570824</v>
      </c>
      <c r="BH555" s="399">
        <v>0</v>
      </c>
      <c r="BI555" s="399">
        <v>0</v>
      </c>
      <c r="BJ555" s="399">
        <v>0</v>
      </c>
      <c r="BK555" s="399">
        <v>0</v>
      </c>
      <c r="BL555" s="399">
        <v>0</v>
      </c>
      <c r="BM555" s="399"/>
      <c r="BN555" s="399"/>
      <c r="BO555" s="399"/>
      <c r="BP555" s="399"/>
      <c r="BQ555" s="399"/>
      <c r="BR555" s="399">
        <v>172.916</v>
      </c>
      <c r="BS555" s="399"/>
      <c r="BT555" s="399"/>
      <c r="BU555" s="399"/>
      <c r="BV555" s="399">
        <v>442.64224195949191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1268.0413999999998</v>
      </c>
      <c r="CJ555" s="399">
        <v>-354.36880000000019</v>
      </c>
      <c r="CK555" s="399"/>
      <c r="CL555" s="399"/>
      <c r="CM555" s="399"/>
      <c r="CN555" s="399"/>
      <c r="CO555" s="399">
        <v>-402.68300000000005</v>
      </c>
      <c r="CP555" s="399">
        <v>0</v>
      </c>
      <c r="CQ555" s="399">
        <v>31</v>
      </c>
      <c r="CR555" s="399">
        <v>-12.386949858745766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-1.4240461952506394</v>
      </c>
      <c r="DA555" s="399">
        <v>0</v>
      </c>
      <c r="DB555" s="399">
        <v>0</v>
      </c>
      <c r="DC555" s="399">
        <v>0</v>
      </c>
      <c r="DD555" s="399">
        <v>0</v>
      </c>
      <c r="DE555" s="399">
        <v>0</v>
      </c>
      <c r="DF555" s="399">
        <v>0</v>
      </c>
      <c r="DG555" s="399">
        <v>0</v>
      </c>
      <c r="DH555" s="399">
        <v>0</v>
      </c>
      <c r="DI555" s="399">
        <v>-9.5041715184347311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-1.30326759410557</v>
      </c>
      <c r="DP555" s="399">
        <v>-0.15546455095487444</v>
      </c>
      <c r="DQ555" s="399">
        <v>0</v>
      </c>
      <c r="DR555" s="399">
        <v>0</v>
      </c>
      <c r="DS555" s="399"/>
      <c r="DT555" s="399"/>
      <c r="DU555" s="399"/>
      <c r="DV555" s="399">
        <v>903.36320970535121</v>
      </c>
      <c r="DW555" s="399">
        <v>0</v>
      </c>
      <c r="DX555" s="399">
        <v>0</v>
      </c>
      <c r="DY555" s="399">
        <v>-402.68300000000022</v>
      </c>
      <c r="DZ555" s="399">
        <v>0</v>
      </c>
      <c r="EA555" s="399">
        <v>0</v>
      </c>
      <c r="EB555" s="399">
        <v>0</v>
      </c>
      <c r="EC555" s="399">
        <v>-390.27041749557134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0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218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558</v>
      </c>
      <c r="B556" s="399" t="s">
        <v>2360</v>
      </c>
      <c r="C556" s="399" t="s">
        <v>2328</v>
      </c>
      <c r="D556" s="399" t="s">
        <v>2335</v>
      </c>
      <c r="E556" s="399" t="s">
        <v>894</v>
      </c>
      <c r="F556" s="399" t="s">
        <v>2363</v>
      </c>
      <c r="G556" s="399" t="s">
        <v>2340</v>
      </c>
      <c r="H556" s="399" t="s">
        <v>1239</v>
      </c>
      <c r="I556" s="399" t="s">
        <v>1239</v>
      </c>
      <c r="J556" s="399" t="s">
        <v>2329</v>
      </c>
      <c r="K556" s="789">
        <v>44743</v>
      </c>
      <c r="L556" s="399">
        <v>0</v>
      </c>
      <c r="M556" s="399">
        <v>0</v>
      </c>
      <c r="N556" s="399">
        <v>-0.26</v>
      </c>
      <c r="O556" s="399">
        <v>-0.26</v>
      </c>
      <c r="P556" s="399">
        <v>-0.26</v>
      </c>
      <c r="Q556" s="399">
        <v>-0.26</v>
      </c>
      <c r="R556" s="399"/>
      <c r="S556" s="399">
        <v>521.86</v>
      </c>
      <c r="T556" s="399">
        <v>141.32</v>
      </c>
      <c r="U556" s="399"/>
      <c r="V556" s="399">
        <v>-172.42680000000001</v>
      </c>
      <c r="W556" s="399">
        <v>-172.42680000000001</v>
      </c>
      <c r="X556" s="399">
        <v>-134.76580000000001</v>
      </c>
      <c r="Y556" s="399">
        <v>0</v>
      </c>
      <c r="Z556" s="399">
        <v>-15.776031048316215</v>
      </c>
      <c r="AA556" s="399">
        <v>0</v>
      </c>
      <c r="AB556" s="399">
        <v>0</v>
      </c>
      <c r="AC556" s="399">
        <v>0</v>
      </c>
      <c r="AD556" s="399">
        <v>-27.963988578046038</v>
      </c>
      <c r="AE556" s="399">
        <v>-84.487206663090404</v>
      </c>
      <c r="AF556" s="399">
        <v>-36.742921808316368</v>
      </c>
      <c r="AG556" s="399">
        <v>0</v>
      </c>
      <c r="AH556" s="399">
        <v>0</v>
      </c>
      <c r="AI556" s="399">
        <v>0</v>
      </c>
      <c r="AJ556" s="399">
        <v>0</v>
      </c>
      <c r="AK556" s="399">
        <v>0</v>
      </c>
      <c r="AL556" s="399">
        <v>-2.439318010732793</v>
      </c>
      <c r="AM556" s="399"/>
      <c r="AN556" s="399">
        <v>-0.360585337703695</v>
      </c>
      <c r="AO556" s="399">
        <v>0</v>
      </c>
      <c r="AP556" s="399">
        <v>0</v>
      </c>
      <c r="AQ556" s="399">
        <v>0</v>
      </c>
      <c r="AR556" s="399">
        <v>0</v>
      </c>
      <c r="AS556" s="399">
        <v>0</v>
      </c>
      <c r="AT556" s="399">
        <v>0</v>
      </c>
      <c r="AU556" s="399">
        <v>0</v>
      </c>
      <c r="AV556" s="399">
        <v>0</v>
      </c>
      <c r="AW556" s="399">
        <v>0</v>
      </c>
      <c r="AX556" s="399">
        <v>0</v>
      </c>
      <c r="AY556" s="399">
        <v>0</v>
      </c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>
        <v>0</v>
      </c>
      <c r="BG556" s="399">
        <v>-4.6552734828591422</v>
      </c>
      <c r="BH556" s="399">
        <v>0</v>
      </c>
      <c r="BI556" s="399">
        <v>0</v>
      </c>
      <c r="BJ556" s="399">
        <v>0</v>
      </c>
      <c r="BK556" s="399">
        <v>0</v>
      </c>
      <c r="BL556" s="399">
        <v>0</v>
      </c>
      <c r="BM556" s="399"/>
      <c r="BN556" s="399"/>
      <c r="BO556" s="399"/>
      <c r="BP556" s="399"/>
      <c r="BQ556" s="399"/>
      <c r="BR556" s="399">
        <v>-16.172000000000001</v>
      </c>
      <c r="BS556" s="399"/>
      <c r="BT556" s="399"/>
      <c r="BU556" s="399"/>
      <c r="BV556" s="399">
        <v>-41.398195291175512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-118.5938</v>
      </c>
      <c r="CJ556" s="399">
        <v>33.109600000000015</v>
      </c>
      <c r="CK556" s="399"/>
      <c r="CL556" s="399"/>
      <c r="CM556" s="399"/>
      <c r="CN556" s="399"/>
      <c r="CO556" s="399">
        <v>37.661000000000008</v>
      </c>
      <c r="CP556" s="399">
        <v>0</v>
      </c>
      <c r="CQ556" s="399">
        <v>31</v>
      </c>
      <c r="CR556" s="399">
        <v>1.1584917134078836</v>
      </c>
      <c r="CS556" s="399">
        <v>0</v>
      </c>
      <c r="CT556" s="399">
        <v>0</v>
      </c>
      <c r="CU556" s="399">
        <v>0</v>
      </c>
      <c r="CV556" s="399">
        <v>0</v>
      </c>
      <c r="CW556" s="399">
        <v>0</v>
      </c>
      <c r="CX556" s="399">
        <v>0</v>
      </c>
      <c r="CY556" s="399">
        <v>0</v>
      </c>
      <c r="CZ556" s="399">
        <v>0.13318417653423609</v>
      </c>
      <c r="DA556" s="399">
        <v>0</v>
      </c>
      <c r="DB556" s="399">
        <v>0</v>
      </c>
      <c r="DC556" s="399">
        <v>0</v>
      </c>
      <c r="DD556" s="399">
        <v>0</v>
      </c>
      <c r="DE556" s="399">
        <v>0</v>
      </c>
      <c r="DF556" s="399">
        <v>0</v>
      </c>
      <c r="DG556" s="399">
        <v>0</v>
      </c>
      <c r="DH556" s="399">
        <v>0</v>
      </c>
      <c r="DI556" s="399">
        <v>0.8888793506449737</v>
      </c>
      <c r="DJ556" s="399"/>
      <c r="DK556" s="399">
        <v>0</v>
      </c>
      <c r="DL556" s="399">
        <v>0</v>
      </c>
      <c r="DM556" s="399">
        <v>0</v>
      </c>
      <c r="DN556" s="399">
        <v>0</v>
      </c>
      <c r="DO556" s="399">
        <v>0.12188833613936989</v>
      </c>
      <c r="DP556" s="399">
        <v>1.4539850089304807E-2</v>
      </c>
      <c r="DQ556" s="399">
        <v>0</v>
      </c>
      <c r="DR556" s="399">
        <v>0</v>
      </c>
      <c r="DS556" s="399"/>
      <c r="DT556" s="399"/>
      <c r="DU556" s="399"/>
      <c r="DV556" s="399">
        <v>-84.487206663090404</v>
      </c>
      <c r="DW556" s="399">
        <v>0</v>
      </c>
      <c r="DX556" s="399">
        <v>0</v>
      </c>
      <c r="DY556" s="399">
        <v>37.661000000000016</v>
      </c>
      <c r="DZ556" s="399">
        <v>0</v>
      </c>
      <c r="EA556" s="399">
        <v>0</v>
      </c>
      <c r="EB556" s="399">
        <v>0</v>
      </c>
      <c r="EC556" s="399">
        <v>36.500110988794439</v>
      </c>
      <c r="ED556" s="399">
        <v>0</v>
      </c>
      <c r="EE556" s="399">
        <v>0</v>
      </c>
      <c r="EF556" s="399">
        <v>0</v>
      </c>
      <c r="EG556" s="399">
        <v>0</v>
      </c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>
        <v>0</v>
      </c>
      <c r="EN556" s="399">
        <v>0</v>
      </c>
      <c r="EO556" s="399">
        <v>0</v>
      </c>
      <c r="EP556" s="399">
        <v>0</v>
      </c>
      <c r="EQ556" s="399">
        <v>0</v>
      </c>
      <c r="ER556" s="399">
        <v>0</v>
      </c>
      <c r="ES556" s="399">
        <v>0</v>
      </c>
      <c r="ET556" s="399">
        <v>0</v>
      </c>
      <c r="EU556" s="399">
        <v>0</v>
      </c>
      <c r="EV556" s="399">
        <v>218</v>
      </c>
      <c r="EW556" s="399">
        <v>0</v>
      </c>
      <c r="EX556" s="399">
        <v>0</v>
      </c>
      <c r="EY556" s="399">
        <v>0</v>
      </c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559</v>
      </c>
      <c r="B557" s="399" t="s">
        <v>2361</v>
      </c>
      <c r="C557" s="399" t="s">
        <v>2328</v>
      </c>
      <c r="D557" s="399" t="s">
        <v>2335</v>
      </c>
      <c r="E557" s="399" t="s">
        <v>894</v>
      </c>
      <c r="F557" s="399" t="s">
        <v>2363</v>
      </c>
      <c r="G557" s="399" t="s">
        <v>2340</v>
      </c>
      <c r="H557" s="399" t="s">
        <v>1239</v>
      </c>
      <c r="I557" s="399" t="s">
        <v>1239</v>
      </c>
      <c r="J557" s="399" t="s">
        <v>2329</v>
      </c>
      <c r="K557" s="789">
        <v>44743</v>
      </c>
      <c r="L557" s="399">
        <v>0</v>
      </c>
      <c r="M557" s="399">
        <v>0</v>
      </c>
      <c r="N557" s="399">
        <v>0.1</v>
      </c>
      <c r="O557" s="399">
        <v>0.1</v>
      </c>
      <c r="P557" s="399">
        <v>0.1</v>
      </c>
      <c r="Q557" s="399">
        <v>0.1</v>
      </c>
      <c r="R557" s="399"/>
      <c r="S557" s="399">
        <v>521.86</v>
      </c>
      <c r="T557" s="399">
        <v>141.32</v>
      </c>
      <c r="U557" s="399"/>
      <c r="V557" s="399">
        <v>66.318000000000012</v>
      </c>
      <c r="W557" s="399">
        <v>66.318000000000012</v>
      </c>
      <c r="X557" s="399">
        <v>51.832999999999998</v>
      </c>
      <c r="Y557" s="399">
        <v>0</v>
      </c>
      <c r="Z557" s="399">
        <v>6.0677042493523903</v>
      </c>
      <c r="AA557" s="399">
        <v>0</v>
      </c>
      <c r="AB557" s="399">
        <v>0</v>
      </c>
      <c r="AC557" s="399">
        <v>0</v>
      </c>
      <c r="AD557" s="399">
        <v>10.7553802223254</v>
      </c>
      <c r="AE557" s="399">
        <v>32.495079485804006</v>
      </c>
      <c r="AF557" s="399">
        <v>14.131893003198602</v>
      </c>
      <c r="AG557" s="399">
        <v>0</v>
      </c>
      <c r="AH557" s="399">
        <v>0</v>
      </c>
      <c r="AI557" s="399">
        <v>0</v>
      </c>
      <c r="AJ557" s="399">
        <v>0</v>
      </c>
      <c r="AK557" s="399">
        <v>0</v>
      </c>
      <c r="AL557" s="399">
        <v>0.93819923489722812</v>
      </c>
      <c r="AM557" s="399"/>
      <c r="AN557" s="399">
        <v>0.13868666834757501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1.7904898010996702</v>
      </c>
      <c r="BH557" s="399">
        <v>0</v>
      </c>
      <c r="BI557" s="399">
        <v>0</v>
      </c>
      <c r="BJ557" s="399">
        <v>0</v>
      </c>
      <c r="BK557" s="399">
        <v>0</v>
      </c>
      <c r="BL557" s="399">
        <v>0</v>
      </c>
      <c r="BM557" s="399"/>
      <c r="BN557" s="399"/>
      <c r="BO557" s="399"/>
      <c r="BP557" s="399"/>
      <c r="BQ557" s="399"/>
      <c r="BR557" s="399">
        <v>6.2200000000000006</v>
      </c>
      <c r="BS557" s="399"/>
      <c r="BT557" s="399"/>
      <c r="BU557" s="399"/>
      <c r="BV557" s="399">
        <v>15.922382804298273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45.613</v>
      </c>
      <c r="CJ557" s="399">
        <v>-12.775999999999996</v>
      </c>
      <c r="CK557" s="399"/>
      <c r="CL557" s="399"/>
      <c r="CM557" s="399"/>
      <c r="CN557" s="399"/>
      <c r="CO557" s="399">
        <v>-14.485000000000003</v>
      </c>
      <c r="CP557" s="399">
        <v>0</v>
      </c>
      <c r="CQ557" s="399">
        <v>31</v>
      </c>
      <c r="CR557" s="399">
        <v>-0.44557373592610361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-5.1224683282399042E-2</v>
      </c>
      <c r="DA557" s="399">
        <v>0</v>
      </c>
      <c r="DB557" s="399">
        <v>0</v>
      </c>
      <c r="DC557" s="399">
        <v>0</v>
      </c>
      <c r="DD557" s="399">
        <v>0</v>
      </c>
      <c r="DE557" s="399">
        <v>0</v>
      </c>
      <c r="DF557" s="399">
        <v>0</v>
      </c>
      <c r="DG557" s="399">
        <v>0</v>
      </c>
      <c r="DH557" s="399">
        <v>0</v>
      </c>
      <c r="DI557" s="399">
        <v>-0.34187667332498961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-4.6880129284373018E-2</v>
      </c>
      <c r="DP557" s="399">
        <v>-5.5922500343480175E-3</v>
      </c>
      <c r="DQ557" s="399">
        <v>0</v>
      </c>
      <c r="DR557" s="399">
        <v>0</v>
      </c>
      <c r="DS557" s="399"/>
      <c r="DT557" s="399"/>
      <c r="DU557" s="399"/>
      <c r="DV557" s="399">
        <v>32.495079485804006</v>
      </c>
      <c r="DW557" s="399">
        <v>0</v>
      </c>
      <c r="DX557" s="399">
        <v>0</v>
      </c>
      <c r="DY557" s="399">
        <v>-14.485000000000007</v>
      </c>
      <c r="DZ557" s="399">
        <v>0</v>
      </c>
      <c r="EA557" s="399">
        <v>0</v>
      </c>
      <c r="EB557" s="399">
        <v>0</v>
      </c>
      <c r="EC557" s="399">
        <v>-14.038504226459406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0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218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560</v>
      </c>
      <c r="B558" s="399" t="s">
        <v>956</v>
      </c>
      <c r="C558" s="399" t="s">
        <v>2328</v>
      </c>
      <c r="D558" s="399" t="s">
        <v>2335</v>
      </c>
      <c r="E558" s="399" t="s">
        <v>894</v>
      </c>
      <c r="F558" s="399" t="s">
        <v>2363</v>
      </c>
      <c r="G558" s="399" t="s">
        <v>2341</v>
      </c>
      <c r="H558" s="399" t="s">
        <v>1239</v>
      </c>
      <c r="I558" s="399" t="s">
        <v>1239</v>
      </c>
      <c r="J558" s="399" t="s">
        <v>2329</v>
      </c>
      <c r="K558" s="789">
        <v>44743</v>
      </c>
      <c r="L558" s="399">
        <v>0</v>
      </c>
      <c r="M558" s="399">
        <v>0</v>
      </c>
      <c r="N558" s="399">
        <v>0.85399999999999998</v>
      </c>
      <c r="O558" s="399">
        <v>0.34160000000000001</v>
      </c>
      <c r="P558" s="399">
        <v>0.85399999999999998</v>
      </c>
      <c r="Q558" s="399">
        <v>0.34160000000000001</v>
      </c>
      <c r="R558" s="399"/>
      <c r="S558" s="399">
        <v>521.86</v>
      </c>
      <c r="T558" s="399">
        <v>141.32</v>
      </c>
      <c r="U558" s="399"/>
      <c r="V558" s="399">
        <v>566.35572000000002</v>
      </c>
      <c r="W558" s="399">
        <v>566.35572000000002</v>
      </c>
      <c r="X558" s="399">
        <v>442.65382</v>
      </c>
      <c r="Y558" s="399">
        <v>0</v>
      </c>
      <c r="Z558" s="399">
        <v>51.81819428946941</v>
      </c>
      <c r="AA558" s="399">
        <v>0</v>
      </c>
      <c r="AB558" s="399">
        <v>0</v>
      </c>
      <c r="AC558" s="399">
        <v>0</v>
      </c>
      <c r="AD558" s="399">
        <v>91.850947098658906</v>
      </c>
      <c r="AE558" s="399">
        <v>277.50797880876615</v>
      </c>
      <c r="AF558" s="399">
        <v>120.68636624731606</v>
      </c>
      <c r="AG558" s="399">
        <v>0</v>
      </c>
      <c r="AH558" s="399">
        <v>0</v>
      </c>
      <c r="AI558" s="399">
        <v>0</v>
      </c>
      <c r="AJ558" s="399">
        <v>0</v>
      </c>
      <c r="AK558" s="399">
        <v>0</v>
      </c>
      <c r="AL558" s="399">
        <v>8.0122214660223268</v>
      </c>
      <c r="AM558" s="399"/>
      <c r="AN558" s="399">
        <v>1.1843841476882904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15.29078290139118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/>
      <c r="BO558" s="399"/>
      <c r="BP558" s="399"/>
      <c r="BQ558" s="399"/>
      <c r="BR558" s="399"/>
      <c r="BS558" s="399">
        <v>286.83981199999994</v>
      </c>
      <c r="BT558" s="399"/>
      <c r="BU558" s="399"/>
      <c r="BV558" s="399">
        <v>135.97714914870724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155.08420000000001</v>
      </c>
      <c r="CJ558" s="399">
        <v>-44.300143999999989</v>
      </c>
      <c r="CK558" s="399"/>
      <c r="CL558" s="399"/>
      <c r="CM558" s="399"/>
      <c r="CN558" s="399"/>
      <c r="CO558" s="399">
        <v>-123.70190000000002</v>
      </c>
      <c r="CP558" s="399">
        <v>0</v>
      </c>
      <c r="CQ558" s="399">
        <v>31</v>
      </c>
      <c r="CR558" s="399">
        <v>-3.8051997048088992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-0.4374587952316773</v>
      </c>
      <c r="DA558" s="399">
        <v>0</v>
      </c>
      <c r="DB558" s="399">
        <v>0</v>
      </c>
      <c r="DC558" s="399">
        <v>0</v>
      </c>
      <c r="DD558" s="399">
        <v>0</v>
      </c>
      <c r="DE558" s="399">
        <v>0</v>
      </c>
      <c r="DF558" s="399">
        <v>0</v>
      </c>
      <c r="DG558" s="399">
        <v>0</v>
      </c>
      <c r="DH558" s="399">
        <v>0</v>
      </c>
      <c r="DI558" s="399">
        <v>-2.9196267901954158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-0.40035630408854495</v>
      </c>
      <c r="DP558" s="399">
        <v>-4.7757815293331785E-2</v>
      </c>
      <c r="DQ558" s="399">
        <v>0</v>
      </c>
      <c r="DR558" s="399">
        <v>0</v>
      </c>
      <c r="DS558" s="399"/>
      <c r="DT558" s="399"/>
      <c r="DU558" s="399"/>
      <c r="DV558" s="399">
        <v>277.50797880876615</v>
      </c>
      <c r="DW558" s="399">
        <v>0</v>
      </c>
      <c r="DX558" s="399">
        <v>0</v>
      </c>
      <c r="DY558" s="399">
        <v>-123.70189999999997</v>
      </c>
      <c r="DZ558" s="399">
        <v>0</v>
      </c>
      <c r="EA558" s="399">
        <v>0</v>
      </c>
      <c r="EB558" s="399">
        <v>0</v>
      </c>
      <c r="EC558" s="399">
        <v>-119.88882609396327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0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218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561</v>
      </c>
      <c r="B559" s="399" t="s">
        <v>2360</v>
      </c>
      <c r="C559" s="399" t="s">
        <v>2328</v>
      </c>
      <c r="D559" s="399" t="s">
        <v>2335</v>
      </c>
      <c r="E559" s="399" t="s">
        <v>894</v>
      </c>
      <c r="F559" s="399" t="s">
        <v>2363</v>
      </c>
      <c r="G559" s="399" t="s">
        <v>2341</v>
      </c>
      <c r="H559" s="399" t="s">
        <v>1239</v>
      </c>
      <c r="I559" s="399" t="s">
        <v>1239</v>
      </c>
      <c r="J559" s="399" t="s">
        <v>2329</v>
      </c>
      <c r="K559" s="789">
        <v>44743</v>
      </c>
      <c r="L559" s="399">
        <v>0</v>
      </c>
      <c r="M559" s="399">
        <v>0</v>
      </c>
      <c r="N559" s="399">
        <v>-0.187</v>
      </c>
      <c r="O559" s="399">
        <v>-7.4800000000000005E-2</v>
      </c>
      <c r="P559" s="399">
        <v>-0.187</v>
      </c>
      <c r="Q559" s="399">
        <v>-7.4800000000000005E-2</v>
      </c>
      <c r="R559" s="399"/>
      <c r="S559" s="399">
        <v>521.86</v>
      </c>
      <c r="T559" s="399">
        <v>141.32</v>
      </c>
      <c r="U559" s="399"/>
      <c r="V559" s="399">
        <v>-124.01466000000001</v>
      </c>
      <c r="W559" s="399">
        <v>-124.01466000000001</v>
      </c>
      <c r="X559" s="399">
        <v>-96.92770999999999</v>
      </c>
      <c r="Y559" s="399">
        <v>0</v>
      </c>
      <c r="Z559" s="399">
        <v>-11.346606946288968</v>
      </c>
      <c r="AA559" s="399">
        <v>0</v>
      </c>
      <c r="AB559" s="399">
        <v>0</v>
      </c>
      <c r="AC559" s="399">
        <v>0</v>
      </c>
      <c r="AD559" s="399">
        <v>-20.112561015748497</v>
      </c>
      <c r="AE559" s="399">
        <v>-60.765798638453482</v>
      </c>
      <c r="AF559" s="399">
        <v>-26.426639915981383</v>
      </c>
      <c r="AG559" s="399">
        <v>0</v>
      </c>
      <c r="AH559" s="399">
        <v>0</v>
      </c>
      <c r="AI559" s="399">
        <v>0</v>
      </c>
      <c r="AJ559" s="399">
        <v>0</v>
      </c>
      <c r="AK559" s="399">
        <v>0</v>
      </c>
      <c r="AL559" s="399">
        <v>-1.7544325692578164</v>
      </c>
      <c r="AM559" s="399"/>
      <c r="AN559" s="399">
        <v>-0.25934406980996522</v>
      </c>
      <c r="AO559" s="399">
        <v>0</v>
      </c>
      <c r="AP559" s="399">
        <v>0</v>
      </c>
      <c r="AQ559" s="399">
        <v>0</v>
      </c>
      <c r="AR559" s="399">
        <v>0</v>
      </c>
      <c r="AS559" s="399">
        <v>0</v>
      </c>
      <c r="AT559" s="399">
        <v>0</v>
      </c>
      <c r="AU559" s="399">
        <v>0</v>
      </c>
      <c r="AV559" s="399">
        <v>0</v>
      </c>
      <c r="AW559" s="399">
        <v>0</v>
      </c>
      <c r="AX559" s="399">
        <v>0</v>
      </c>
      <c r="AY559" s="399">
        <v>0</v>
      </c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>
        <v>0</v>
      </c>
      <c r="BG559" s="399">
        <v>-3.348215928056383</v>
      </c>
      <c r="BH559" s="399">
        <v>0</v>
      </c>
      <c r="BI559" s="399">
        <v>0</v>
      </c>
      <c r="BJ559" s="399">
        <v>0</v>
      </c>
      <c r="BK559" s="399">
        <v>0</v>
      </c>
      <c r="BL559" s="399">
        <v>0</v>
      </c>
      <c r="BM559" s="399"/>
      <c r="BN559" s="399"/>
      <c r="BO559" s="399"/>
      <c r="BP559" s="399"/>
      <c r="BQ559" s="399"/>
      <c r="BR559" s="399"/>
      <c r="BS559" s="399">
        <v>-62.809185999999997</v>
      </c>
      <c r="BT559" s="399"/>
      <c r="BU559" s="399"/>
      <c r="BV559" s="399">
        <v>-29.774855844037766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-31.929100000000002</v>
      </c>
      <c r="CJ559" s="399">
        <v>11.693432000000012</v>
      </c>
      <c r="CK559" s="399"/>
      <c r="CL559" s="399"/>
      <c r="CM559" s="399"/>
      <c r="CN559" s="399"/>
      <c r="CO559" s="399">
        <v>27.086950000000005</v>
      </c>
      <c r="CP559" s="399">
        <v>0</v>
      </c>
      <c r="CQ559" s="399">
        <v>31</v>
      </c>
      <c r="CR559" s="399">
        <v>0.83322288618182228</v>
      </c>
      <c r="CS559" s="399">
        <v>0</v>
      </c>
      <c r="CT559" s="399">
        <v>0</v>
      </c>
      <c r="CU559" s="399">
        <v>0</v>
      </c>
      <c r="CV559" s="399">
        <v>0</v>
      </c>
      <c r="CW559" s="399">
        <v>0</v>
      </c>
      <c r="CX559" s="399">
        <v>0</v>
      </c>
      <c r="CY559" s="399">
        <v>0</v>
      </c>
      <c r="CZ559" s="399">
        <v>9.5790157738086634E-2</v>
      </c>
      <c r="DA559" s="399">
        <v>0</v>
      </c>
      <c r="DB559" s="399">
        <v>0</v>
      </c>
      <c r="DC559" s="399">
        <v>0</v>
      </c>
      <c r="DD559" s="399">
        <v>0</v>
      </c>
      <c r="DE559" s="399">
        <v>0</v>
      </c>
      <c r="DF559" s="399">
        <v>0</v>
      </c>
      <c r="DG559" s="399">
        <v>0</v>
      </c>
      <c r="DH559" s="399">
        <v>0</v>
      </c>
      <c r="DI559" s="399">
        <v>0.63930937911773</v>
      </c>
      <c r="DJ559" s="399"/>
      <c r="DK559" s="399">
        <v>0</v>
      </c>
      <c r="DL559" s="399">
        <v>0</v>
      </c>
      <c r="DM559" s="399">
        <v>0</v>
      </c>
      <c r="DN559" s="399">
        <v>0</v>
      </c>
      <c r="DO559" s="399">
        <v>8.7665841761777497E-2</v>
      </c>
      <c r="DP559" s="399">
        <v>1.045750756423075E-2</v>
      </c>
      <c r="DQ559" s="399">
        <v>0</v>
      </c>
      <c r="DR559" s="399">
        <v>0</v>
      </c>
      <c r="DS559" s="399"/>
      <c r="DT559" s="399"/>
      <c r="DU559" s="399"/>
      <c r="DV559" s="399">
        <v>-60.765798638453482</v>
      </c>
      <c r="DW559" s="399">
        <v>0</v>
      </c>
      <c r="DX559" s="399">
        <v>0</v>
      </c>
      <c r="DY559" s="399">
        <v>27.086950000000016</v>
      </c>
      <c r="DZ559" s="399">
        <v>0</v>
      </c>
      <c r="EA559" s="399">
        <v>0</v>
      </c>
      <c r="EB559" s="399">
        <v>0</v>
      </c>
      <c r="EC559" s="399">
        <v>26.252002903479081</v>
      </c>
      <c r="ED559" s="399">
        <v>0</v>
      </c>
      <c r="EE559" s="399">
        <v>0</v>
      </c>
      <c r="EF559" s="399">
        <v>0</v>
      </c>
      <c r="EG559" s="399">
        <v>0</v>
      </c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>
        <v>0</v>
      </c>
      <c r="EN559" s="399">
        <v>0</v>
      </c>
      <c r="EO559" s="399">
        <v>0</v>
      </c>
      <c r="EP559" s="399">
        <v>0</v>
      </c>
      <c r="EQ559" s="399">
        <v>0</v>
      </c>
      <c r="ER559" s="399">
        <v>0</v>
      </c>
      <c r="ES559" s="399">
        <v>0</v>
      </c>
      <c r="ET559" s="399">
        <v>0</v>
      </c>
      <c r="EU559" s="399">
        <v>0</v>
      </c>
      <c r="EV559" s="399">
        <v>218</v>
      </c>
      <c r="EW559" s="399">
        <v>0</v>
      </c>
      <c r="EX559" s="399">
        <v>0</v>
      </c>
      <c r="EY559" s="399">
        <v>0</v>
      </c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563</v>
      </c>
      <c r="B560" s="399" t="s">
        <v>956</v>
      </c>
      <c r="C560" s="399" t="s">
        <v>2328</v>
      </c>
      <c r="D560" s="399" t="s">
        <v>2335</v>
      </c>
      <c r="E560" s="399" t="s">
        <v>894</v>
      </c>
      <c r="F560" s="399" t="s">
        <v>2342</v>
      </c>
      <c r="G560" s="399" t="s">
        <v>2340</v>
      </c>
      <c r="H560" s="399" t="s">
        <v>1239</v>
      </c>
      <c r="I560" s="399" t="s">
        <v>1239</v>
      </c>
      <c r="J560" s="399" t="s">
        <v>2329</v>
      </c>
      <c r="K560" s="789">
        <v>44743</v>
      </c>
      <c r="L560" s="399">
        <v>0</v>
      </c>
      <c r="M560" s="399">
        <v>0</v>
      </c>
      <c r="N560" s="399">
        <v>0</v>
      </c>
      <c r="O560" s="399">
        <v>0</v>
      </c>
      <c r="P560" s="399">
        <v>0</v>
      </c>
      <c r="Q560" s="399">
        <v>0</v>
      </c>
      <c r="R560" s="399"/>
      <c r="S560" s="399"/>
      <c r="T560" s="399"/>
      <c r="U560" s="399"/>
      <c r="V560" s="399"/>
      <c r="W560" s="399"/>
      <c r="X560" s="399"/>
      <c r="Y560" s="399"/>
      <c r="Z560" s="399"/>
      <c r="AA560" s="399">
        <v>0</v>
      </c>
      <c r="AB560" s="399"/>
      <c r="AC560" s="399"/>
      <c r="AD560" s="399"/>
      <c r="AE560" s="399"/>
      <c r="AF560" s="399"/>
      <c r="AG560" s="399"/>
      <c r="AH560" s="399"/>
      <c r="AI560" s="399"/>
      <c r="AJ560" s="399"/>
      <c r="AK560" s="399"/>
      <c r="AL560" s="399"/>
      <c r="AM560" s="399"/>
      <c r="AN560" s="399"/>
      <c r="AO560" s="399"/>
      <c r="AP560" s="399"/>
      <c r="AQ560" s="399"/>
      <c r="AR560" s="399"/>
      <c r="AS560" s="399"/>
      <c r="AT560" s="399"/>
      <c r="AU560" s="399"/>
      <c r="AV560" s="399"/>
      <c r="AW560" s="399"/>
      <c r="AX560" s="399"/>
      <c r="AY560" s="399"/>
      <c r="AZ560" s="399">
        <v>0</v>
      </c>
      <c r="BA560" s="399"/>
      <c r="BB560" s="399"/>
      <c r="BC560" s="399"/>
      <c r="BD560" s="399"/>
      <c r="BE560" s="399"/>
      <c r="BF560" s="399"/>
      <c r="BG560" s="399"/>
      <c r="BH560" s="399"/>
      <c r="BI560" s="399">
        <v>27.16</v>
      </c>
      <c r="BJ560" s="399">
        <v>125.75</v>
      </c>
      <c r="BK560" s="399">
        <v>708.83</v>
      </c>
      <c r="BL560" s="399">
        <v>15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/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/>
      <c r="CJ560" s="399">
        <v>-0.03</v>
      </c>
      <c r="CK560" s="399"/>
      <c r="CL560" s="399"/>
      <c r="CM560" s="399"/>
      <c r="CN560" s="399"/>
      <c r="CO560" s="399">
        <v>0</v>
      </c>
      <c r="CP560" s="399">
        <v>0</v>
      </c>
      <c r="CQ560" s="399">
        <v>31</v>
      </c>
      <c r="CR560" s="399"/>
      <c r="CS560" s="399"/>
      <c r="CT560" s="399"/>
      <c r="CU560" s="399"/>
      <c r="CV560" s="399"/>
      <c r="CW560" s="399"/>
      <c r="CX560" s="399"/>
      <c r="CY560" s="399"/>
      <c r="CZ560" s="399"/>
      <c r="DA560" s="399"/>
      <c r="DB560" s="399"/>
      <c r="DC560" s="399"/>
      <c r="DD560" s="399"/>
      <c r="DE560" s="399"/>
      <c r="DF560" s="399"/>
      <c r="DG560" s="399"/>
      <c r="DH560" s="399"/>
      <c r="DI560" s="399"/>
      <c r="DJ560" s="399"/>
      <c r="DK560" s="399">
        <v>0</v>
      </c>
      <c r="DL560" s="399"/>
      <c r="DM560" s="399"/>
      <c r="DN560" s="399"/>
      <c r="DO560" s="399"/>
      <c r="DP560" s="399"/>
      <c r="DQ560" s="399"/>
      <c r="DR560" s="399"/>
      <c r="DS560" s="399"/>
      <c r="DT560" s="399"/>
      <c r="DU560" s="399"/>
      <c r="DV560" s="399"/>
      <c r="DW560" s="399"/>
      <c r="DX560" s="399"/>
      <c r="DY560" s="399"/>
      <c r="DZ560" s="399"/>
      <c r="EA560" s="399"/>
      <c r="EB560" s="399"/>
      <c r="EC560" s="399"/>
      <c r="ED560" s="399"/>
      <c r="EE560" s="399"/>
      <c r="EF560" s="399"/>
      <c r="EG560" s="399"/>
      <c r="EH560" s="399"/>
      <c r="EI560" s="399"/>
      <c r="EJ560" s="399"/>
      <c r="EK560" s="399"/>
      <c r="EL560" s="399"/>
      <c r="EM560" s="399"/>
      <c r="EN560" s="399"/>
      <c r="EO560" s="399"/>
      <c r="EP560" s="399"/>
      <c r="EQ560" s="399"/>
      <c r="ER560" s="399"/>
      <c r="ES560" s="399"/>
      <c r="ET560" s="399"/>
      <c r="EU560" s="399"/>
      <c r="EV560" s="399">
        <v>218</v>
      </c>
      <c r="EW560" s="399"/>
      <c r="EX560" s="399"/>
      <c r="EY560" s="399"/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564</v>
      </c>
      <c r="B561" s="399" t="s">
        <v>2361</v>
      </c>
      <c r="C561" s="399" t="s">
        <v>2328</v>
      </c>
      <c r="D561" s="399" t="s">
        <v>2335</v>
      </c>
      <c r="E561" s="399" t="s">
        <v>894</v>
      </c>
      <c r="F561" s="399" t="s">
        <v>2342</v>
      </c>
      <c r="G561" s="399" t="s">
        <v>2340</v>
      </c>
      <c r="H561" s="399" t="s">
        <v>1239</v>
      </c>
      <c r="I561" s="399" t="s">
        <v>1239</v>
      </c>
      <c r="J561" s="399" t="s">
        <v>2329</v>
      </c>
      <c r="K561" s="789">
        <v>44743</v>
      </c>
      <c r="L561" s="399">
        <v>0</v>
      </c>
      <c r="M561" s="399">
        <v>0</v>
      </c>
      <c r="N561" s="399">
        <v>0</v>
      </c>
      <c r="O561" s="399">
        <v>0</v>
      </c>
      <c r="P561" s="399">
        <v>0</v>
      </c>
      <c r="Q561" s="399">
        <v>0</v>
      </c>
      <c r="R561" s="399"/>
      <c r="S561" s="399"/>
      <c r="T561" s="399"/>
      <c r="U561" s="399"/>
      <c r="V561" s="399"/>
      <c r="W561" s="399"/>
      <c r="X561" s="399"/>
      <c r="Y561" s="399"/>
      <c r="Z561" s="399"/>
      <c r="AA561" s="399">
        <v>0</v>
      </c>
      <c r="AB561" s="399"/>
      <c r="AC561" s="399"/>
      <c r="AD561" s="399"/>
      <c r="AE561" s="399"/>
      <c r="AF561" s="399"/>
      <c r="AG561" s="399"/>
      <c r="AH561" s="399"/>
      <c r="AI561" s="399"/>
      <c r="AJ561" s="399"/>
      <c r="AK561" s="399"/>
      <c r="AL561" s="399"/>
      <c r="AM561" s="399"/>
      <c r="AN561" s="399"/>
      <c r="AO561" s="399"/>
      <c r="AP561" s="399"/>
      <c r="AQ561" s="399"/>
      <c r="AR561" s="399"/>
      <c r="AS561" s="399"/>
      <c r="AT561" s="399"/>
      <c r="AU561" s="399"/>
      <c r="AV561" s="399"/>
      <c r="AW561" s="399"/>
      <c r="AX561" s="399"/>
      <c r="AY561" s="399"/>
      <c r="AZ561" s="399">
        <v>0</v>
      </c>
      <c r="BA561" s="399"/>
      <c r="BB561" s="399"/>
      <c r="BC561" s="399"/>
      <c r="BD561" s="399"/>
      <c r="BE561" s="399"/>
      <c r="BF561" s="399"/>
      <c r="BG561" s="399"/>
      <c r="BH561" s="399"/>
      <c r="BI561" s="399">
        <v>0.68</v>
      </c>
      <c r="BJ561" s="399">
        <v>3.24</v>
      </c>
      <c r="BK561" s="399">
        <v>47</v>
      </c>
      <c r="BL561" s="399">
        <v>4</v>
      </c>
      <c r="BM561" s="399"/>
      <c r="BN561" s="399"/>
      <c r="BO561" s="399"/>
      <c r="BP561" s="399"/>
      <c r="BQ561" s="399"/>
      <c r="BR561" s="399"/>
      <c r="BS561" s="399"/>
      <c r="BT561" s="399"/>
      <c r="BU561" s="399"/>
      <c r="BV561" s="399"/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/>
      <c r="CJ561" s="399">
        <v>-0.03</v>
      </c>
      <c r="CK561" s="399"/>
      <c r="CL561" s="399"/>
      <c r="CM561" s="399"/>
      <c r="CN561" s="399"/>
      <c r="CO561" s="399">
        <v>0</v>
      </c>
      <c r="CP561" s="399">
        <v>0</v>
      </c>
      <c r="CQ561" s="399">
        <v>31</v>
      </c>
      <c r="CR561" s="399"/>
      <c r="CS561" s="399"/>
      <c r="CT561" s="399"/>
      <c r="CU561" s="399"/>
      <c r="CV561" s="399"/>
      <c r="CW561" s="399"/>
      <c r="CX561" s="399"/>
      <c r="CY561" s="399"/>
      <c r="CZ561" s="399"/>
      <c r="DA561" s="399"/>
      <c r="DB561" s="399"/>
      <c r="DC561" s="399"/>
      <c r="DD561" s="399"/>
      <c r="DE561" s="399"/>
      <c r="DF561" s="399"/>
      <c r="DG561" s="399"/>
      <c r="DH561" s="399"/>
      <c r="DI561" s="399"/>
      <c r="DJ561" s="399"/>
      <c r="DK561" s="399">
        <v>0</v>
      </c>
      <c r="DL561" s="399"/>
      <c r="DM561" s="399"/>
      <c r="DN561" s="399"/>
      <c r="DO561" s="399"/>
      <c r="DP561" s="399"/>
      <c r="DQ561" s="399"/>
      <c r="DR561" s="399"/>
      <c r="DS561" s="399"/>
      <c r="DT561" s="399"/>
      <c r="DU561" s="399"/>
      <c r="DV561" s="399"/>
      <c r="DW561" s="399"/>
      <c r="DX561" s="399"/>
      <c r="DY561" s="399"/>
      <c r="DZ561" s="399"/>
      <c r="EA561" s="399"/>
      <c r="EB561" s="399"/>
      <c r="EC561" s="399"/>
      <c r="ED561" s="399"/>
      <c r="EE561" s="399"/>
      <c r="EF561" s="399"/>
      <c r="EG561" s="399"/>
      <c r="EH561" s="399"/>
      <c r="EI561" s="399"/>
      <c r="EJ561" s="399"/>
      <c r="EK561" s="399"/>
      <c r="EL561" s="399"/>
      <c r="EM561" s="399"/>
      <c r="EN561" s="399"/>
      <c r="EO561" s="399"/>
      <c r="EP561" s="399"/>
      <c r="EQ561" s="399"/>
      <c r="ER561" s="399"/>
      <c r="ES561" s="399"/>
      <c r="ET561" s="399"/>
      <c r="EU561" s="399"/>
      <c r="EV561" s="399">
        <v>218</v>
      </c>
      <c r="EW561" s="399"/>
      <c r="EX561" s="399"/>
      <c r="EY561" s="399"/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565</v>
      </c>
      <c r="B562" s="399" t="s">
        <v>956</v>
      </c>
      <c r="C562" s="399" t="s">
        <v>2328</v>
      </c>
      <c r="D562" s="399" t="s">
        <v>2335</v>
      </c>
      <c r="E562" s="399" t="s">
        <v>894</v>
      </c>
      <c r="F562" s="399" t="s">
        <v>2342</v>
      </c>
      <c r="G562" s="399" t="s">
        <v>2340</v>
      </c>
      <c r="H562" s="399" t="s">
        <v>1239</v>
      </c>
      <c r="I562" s="399" t="s">
        <v>1239</v>
      </c>
      <c r="J562" s="399" t="s">
        <v>2329</v>
      </c>
      <c r="K562" s="789">
        <v>44743</v>
      </c>
      <c r="L562" s="399">
        <v>0</v>
      </c>
      <c r="M562" s="399">
        <v>0</v>
      </c>
      <c r="N562" s="399">
        <v>3.3410000000000002</v>
      </c>
      <c r="O562" s="399">
        <v>3.3410000000000002</v>
      </c>
      <c r="P562" s="399">
        <v>3.3410000000000002</v>
      </c>
      <c r="Q562" s="399">
        <v>3.3410000000000002</v>
      </c>
      <c r="R562" s="399"/>
      <c r="S562" s="399">
        <v>521.86</v>
      </c>
      <c r="T562" s="399">
        <v>141.32</v>
      </c>
      <c r="U562" s="399"/>
      <c r="V562" s="399">
        <v>2215.6843800000001</v>
      </c>
      <c r="W562" s="399">
        <v>2215.6843800000001</v>
      </c>
      <c r="X562" s="399">
        <v>1731.74053</v>
      </c>
      <c r="Y562" s="399">
        <v>0</v>
      </c>
      <c r="Z562" s="399">
        <v>202.72199897086335</v>
      </c>
      <c r="AA562" s="399">
        <v>0</v>
      </c>
      <c r="AB562" s="399">
        <v>0</v>
      </c>
      <c r="AC562" s="399">
        <v>0</v>
      </c>
      <c r="AD562" s="399">
        <v>359.33725322789161</v>
      </c>
      <c r="AE562" s="399">
        <v>1085.6606056207117</v>
      </c>
      <c r="AF562" s="399">
        <v>472.14654523686528</v>
      </c>
      <c r="AG562" s="399">
        <v>0</v>
      </c>
      <c r="AH562" s="399">
        <v>0</v>
      </c>
      <c r="AI562" s="399">
        <v>0</v>
      </c>
      <c r="AJ562" s="399">
        <v>0</v>
      </c>
      <c r="AK562" s="399">
        <v>0</v>
      </c>
      <c r="AL562" s="399">
        <v>31.345236437916391</v>
      </c>
      <c r="AM562" s="399"/>
      <c r="AN562" s="399">
        <v>4.6335215894924806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59.820264254739975</v>
      </c>
      <c r="BH562" s="399">
        <v>0</v>
      </c>
      <c r="BI562" s="399">
        <v>0</v>
      </c>
      <c r="BJ562" s="399">
        <v>0</v>
      </c>
      <c r="BK562" s="399">
        <v>0</v>
      </c>
      <c r="BL562" s="399">
        <v>0</v>
      </c>
      <c r="BM562" s="399"/>
      <c r="BN562" s="399"/>
      <c r="BO562" s="399"/>
      <c r="BP562" s="399"/>
      <c r="BQ562" s="399"/>
      <c r="BR562" s="399">
        <v>207.81020000000001</v>
      </c>
      <c r="BS562" s="399"/>
      <c r="BT562" s="399"/>
      <c r="BU562" s="399"/>
      <c r="BV562" s="399">
        <v>531.9668094916052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1523.4741999999999</v>
      </c>
      <c r="CJ562" s="399">
        <v>-426.32999000000018</v>
      </c>
      <c r="CK562" s="399"/>
      <c r="CL562" s="399"/>
      <c r="CM562" s="399"/>
      <c r="CN562" s="399"/>
      <c r="CO562" s="399">
        <v>-483.94385000000011</v>
      </c>
      <c r="CP562" s="399">
        <v>0</v>
      </c>
      <c r="CQ562" s="399">
        <v>31</v>
      </c>
      <c r="CR562" s="399">
        <v>-14.886618517291026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-1.711416668464949</v>
      </c>
      <c r="DA562" s="399">
        <v>0</v>
      </c>
      <c r="DB562" s="399">
        <v>0</v>
      </c>
      <c r="DC562" s="399">
        <v>0</v>
      </c>
      <c r="DD562" s="399">
        <v>0</v>
      </c>
      <c r="DE562" s="399">
        <v>0</v>
      </c>
      <c r="DF562" s="399">
        <v>0</v>
      </c>
      <c r="DG562" s="399">
        <v>0</v>
      </c>
      <c r="DH562" s="399">
        <v>0</v>
      </c>
      <c r="DI562" s="399">
        <v>-11.422099655787889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-1.5662651193909021</v>
      </c>
      <c r="DP562" s="399">
        <v>-0.18683707364756685</v>
      </c>
      <c r="DQ562" s="399">
        <v>0</v>
      </c>
      <c r="DR562" s="399">
        <v>0</v>
      </c>
      <c r="DS562" s="399"/>
      <c r="DT562" s="399"/>
      <c r="DU562" s="399"/>
      <c r="DV562" s="399">
        <v>1085.6606056207117</v>
      </c>
      <c r="DW562" s="399">
        <v>0</v>
      </c>
      <c r="DX562" s="399">
        <v>0</v>
      </c>
      <c r="DY562" s="399">
        <v>-483.94385000000011</v>
      </c>
      <c r="DZ562" s="399">
        <v>0</v>
      </c>
      <c r="EA562" s="399">
        <v>0</v>
      </c>
      <c r="EB562" s="399">
        <v>0</v>
      </c>
      <c r="EC562" s="399">
        <v>-469.02642620600864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218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566</v>
      </c>
      <c r="B563" s="399" t="s">
        <v>2361</v>
      </c>
      <c r="C563" s="399" t="s">
        <v>2328</v>
      </c>
      <c r="D563" s="399" t="s">
        <v>2335</v>
      </c>
      <c r="E563" s="399" t="s">
        <v>894</v>
      </c>
      <c r="F563" s="399" t="s">
        <v>2342</v>
      </c>
      <c r="G563" s="399" t="s">
        <v>2340</v>
      </c>
      <c r="H563" s="399" t="s">
        <v>1239</v>
      </c>
      <c r="I563" s="399" t="s">
        <v>1239</v>
      </c>
      <c r="J563" s="399" t="s">
        <v>2329</v>
      </c>
      <c r="K563" s="789">
        <v>44743</v>
      </c>
      <c r="L563" s="399">
        <v>0</v>
      </c>
      <c r="M563" s="399">
        <v>0</v>
      </c>
      <c r="N563" s="399">
        <v>0.2</v>
      </c>
      <c r="O563" s="399">
        <v>0.2</v>
      </c>
      <c r="P563" s="399">
        <v>0.2</v>
      </c>
      <c r="Q563" s="399">
        <v>0.2</v>
      </c>
      <c r="R563" s="399"/>
      <c r="S563" s="399">
        <v>521.86</v>
      </c>
      <c r="T563" s="399">
        <v>141.32</v>
      </c>
      <c r="U563" s="399"/>
      <c r="V563" s="399">
        <v>132.63600000000002</v>
      </c>
      <c r="W563" s="399">
        <v>132.63600000000002</v>
      </c>
      <c r="X563" s="399">
        <v>103.666</v>
      </c>
      <c r="Y563" s="399">
        <v>0</v>
      </c>
      <c r="Z563" s="399">
        <v>12.135408498704781</v>
      </c>
      <c r="AA563" s="399">
        <v>0</v>
      </c>
      <c r="AB563" s="399">
        <v>0</v>
      </c>
      <c r="AC563" s="399">
        <v>0</v>
      </c>
      <c r="AD563" s="399">
        <v>21.510760444650799</v>
      </c>
      <c r="AE563" s="399">
        <v>64.990158971608011</v>
      </c>
      <c r="AF563" s="399">
        <v>28.263786006397204</v>
      </c>
      <c r="AG563" s="399">
        <v>0</v>
      </c>
      <c r="AH563" s="399">
        <v>0</v>
      </c>
      <c r="AI563" s="399">
        <v>0</v>
      </c>
      <c r="AJ563" s="399">
        <v>0</v>
      </c>
      <c r="AK563" s="399">
        <v>0</v>
      </c>
      <c r="AL563" s="399">
        <v>1.8763984697944562</v>
      </c>
      <c r="AM563" s="399"/>
      <c r="AN563" s="399">
        <v>0.27737333669515002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3.5809796021993403</v>
      </c>
      <c r="BH563" s="399">
        <v>0</v>
      </c>
      <c r="BI563" s="399">
        <v>0</v>
      </c>
      <c r="BJ563" s="399">
        <v>0</v>
      </c>
      <c r="BK563" s="399">
        <v>0</v>
      </c>
      <c r="BL563" s="399">
        <v>0</v>
      </c>
      <c r="BM563" s="399"/>
      <c r="BN563" s="399"/>
      <c r="BO563" s="399"/>
      <c r="BP563" s="399"/>
      <c r="BQ563" s="399"/>
      <c r="BR563" s="399">
        <v>12.440000000000001</v>
      </c>
      <c r="BS563" s="399"/>
      <c r="BT563" s="399"/>
      <c r="BU563" s="399"/>
      <c r="BV563" s="399">
        <v>31.844765608596546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91.225999999999999</v>
      </c>
      <c r="CJ563" s="399">
        <v>-25.52200000000002</v>
      </c>
      <c r="CK563" s="399"/>
      <c r="CL563" s="399"/>
      <c r="CM563" s="399"/>
      <c r="CN563" s="399"/>
      <c r="CO563" s="399">
        <v>-28.970000000000006</v>
      </c>
      <c r="CP563" s="399">
        <v>0</v>
      </c>
      <c r="CQ563" s="399">
        <v>31</v>
      </c>
      <c r="CR563" s="399">
        <v>-0.89114747185220722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-0.10244936656479808</v>
      </c>
      <c r="DA563" s="399">
        <v>0</v>
      </c>
      <c r="DB563" s="399">
        <v>0</v>
      </c>
      <c r="DC563" s="399">
        <v>0</v>
      </c>
      <c r="DD563" s="399">
        <v>0</v>
      </c>
      <c r="DE563" s="399">
        <v>0</v>
      </c>
      <c r="DF563" s="399">
        <v>0</v>
      </c>
      <c r="DG563" s="399">
        <v>0</v>
      </c>
      <c r="DH563" s="399">
        <v>0</v>
      </c>
      <c r="DI563" s="399">
        <v>-0.68375334664997922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-9.3760258568746035E-2</v>
      </c>
      <c r="DP563" s="399">
        <v>-1.1184500068696035E-2</v>
      </c>
      <c r="DQ563" s="399">
        <v>0</v>
      </c>
      <c r="DR563" s="399">
        <v>0</v>
      </c>
      <c r="DS563" s="399"/>
      <c r="DT563" s="399"/>
      <c r="DU563" s="399"/>
      <c r="DV563" s="399">
        <v>64.990158971608011</v>
      </c>
      <c r="DW563" s="399">
        <v>0</v>
      </c>
      <c r="DX563" s="399">
        <v>0</v>
      </c>
      <c r="DY563" s="399">
        <v>-28.970000000000013</v>
      </c>
      <c r="DZ563" s="399">
        <v>0</v>
      </c>
      <c r="EA563" s="399">
        <v>0</v>
      </c>
      <c r="EB563" s="399">
        <v>0</v>
      </c>
      <c r="EC563" s="399">
        <v>-28.077008452918811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218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567</v>
      </c>
      <c r="B564" s="399" t="s">
        <v>956</v>
      </c>
      <c r="C564" s="399" t="s">
        <v>2328</v>
      </c>
      <c r="D564" s="399" t="s">
        <v>2335</v>
      </c>
      <c r="E564" s="399" t="s">
        <v>894</v>
      </c>
      <c r="F564" s="399" t="s">
        <v>2342</v>
      </c>
      <c r="G564" s="399" t="s">
        <v>2341</v>
      </c>
      <c r="H564" s="399" t="s">
        <v>1239</v>
      </c>
      <c r="I564" s="399" t="s">
        <v>1239</v>
      </c>
      <c r="J564" s="399" t="s">
        <v>2329</v>
      </c>
      <c r="K564" s="789">
        <v>44743</v>
      </c>
      <c r="L564" s="399">
        <v>0</v>
      </c>
      <c r="M564" s="399">
        <v>0</v>
      </c>
      <c r="N564" s="399">
        <v>4.4489999999999998</v>
      </c>
      <c r="O564" s="399">
        <v>1.7796000000000001</v>
      </c>
      <c r="P564" s="399">
        <v>4.4489999999999998</v>
      </c>
      <c r="Q564" s="399">
        <v>1.7796000000000001</v>
      </c>
      <c r="R564" s="399"/>
      <c r="S564" s="399">
        <v>521.86</v>
      </c>
      <c r="T564" s="399">
        <v>141.32</v>
      </c>
      <c r="U564" s="399"/>
      <c r="V564" s="399">
        <v>2950.4878199999998</v>
      </c>
      <c r="W564" s="399">
        <v>2950.4878199999998</v>
      </c>
      <c r="X564" s="399">
        <v>2306.05017</v>
      </c>
      <c r="Y564" s="399">
        <v>0</v>
      </c>
      <c r="Z564" s="399">
        <v>269.9521620536878</v>
      </c>
      <c r="AA564" s="399">
        <v>0</v>
      </c>
      <c r="AB564" s="399">
        <v>0</v>
      </c>
      <c r="AC564" s="399">
        <v>0</v>
      </c>
      <c r="AD564" s="399">
        <v>478.506866091257</v>
      </c>
      <c r="AE564" s="399">
        <v>1445.7060863234199</v>
      </c>
      <c r="AF564" s="399">
        <v>628.72791971230572</v>
      </c>
      <c r="AG564" s="399">
        <v>0</v>
      </c>
      <c r="AH564" s="399">
        <v>0</v>
      </c>
      <c r="AI564" s="399">
        <v>0</v>
      </c>
      <c r="AJ564" s="399">
        <v>0</v>
      </c>
      <c r="AK564" s="399">
        <v>0</v>
      </c>
      <c r="AL564" s="399">
        <v>41.740483960577677</v>
      </c>
      <c r="AM564" s="399"/>
      <c r="AN564" s="399">
        <v>6.1701698747836113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79.658891250924313</v>
      </c>
      <c r="BH564" s="399">
        <v>0</v>
      </c>
      <c r="BI564" s="399">
        <v>0</v>
      </c>
      <c r="BJ564" s="399">
        <v>0</v>
      </c>
      <c r="BK564" s="399">
        <v>0</v>
      </c>
      <c r="BL564" s="399">
        <v>0</v>
      </c>
      <c r="BM564" s="399"/>
      <c r="BN564" s="399"/>
      <c r="BO564" s="399"/>
      <c r="BP564" s="399"/>
      <c r="BQ564" s="399"/>
      <c r="BR564" s="399"/>
      <c r="BS564" s="399">
        <v>1494.3212219999998</v>
      </c>
      <c r="BT564" s="399"/>
      <c r="BU564" s="399"/>
      <c r="BV564" s="399">
        <v>708.38681096323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811.91140000000007</v>
      </c>
      <c r="CJ564" s="399">
        <v>-226.67536399999983</v>
      </c>
      <c r="CK564" s="399"/>
      <c r="CL564" s="399"/>
      <c r="CM564" s="399"/>
      <c r="CN564" s="399"/>
      <c r="CO564" s="399">
        <v>-644.43765000000008</v>
      </c>
      <c r="CP564" s="399">
        <v>0</v>
      </c>
      <c r="CQ564" s="399">
        <v>31</v>
      </c>
      <c r="CR564" s="399">
        <v>-19.823575511352374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-2.2789861592339093</v>
      </c>
      <c r="DA564" s="399">
        <v>0</v>
      </c>
      <c r="DB564" s="399">
        <v>0</v>
      </c>
      <c r="DC564" s="399">
        <v>0</v>
      </c>
      <c r="DD564" s="399">
        <v>0</v>
      </c>
      <c r="DE564" s="399">
        <v>0</v>
      </c>
      <c r="DF564" s="399">
        <v>0</v>
      </c>
      <c r="DG564" s="399">
        <v>0</v>
      </c>
      <c r="DH564" s="399">
        <v>0</v>
      </c>
      <c r="DI564" s="399">
        <v>-15.210093196228769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-2.0856969518617561</v>
      </c>
      <c r="DP564" s="399">
        <v>-0.24879920402814282</v>
      </c>
      <c r="DQ564" s="399">
        <v>0</v>
      </c>
      <c r="DR564" s="399">
        <v>0</v>
      </c>
      <c r="DS564" s="399"/>
      <c r="DT564" s="399"/>
      <c r="DU564" s="399"/>
      <c r="DV564" s="399">
        <v>1445.7060863234199</v>
      </c>
      <c r="DW564" s="399">
        <v>0</v>
      </c>
      <c r="DX564" s="399">
        <v>0</v>
      </c>
      <c r="DY564" s="399">
        <v>-644.43764999999985</v>
      </c>
      <c r="DZ564" s="399">
        <v>0</v>
      </c>
      <c r="EA564" s="399">
        <v>0</v>
      </c>
      <c r="EB564" s="399">
        <v>0</v>
      </c>
      <c r="EC564" s="399">
        <v>-624.57305303517865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218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569</v>
      </c>
      <c r="B565" s="399" t="s">
        <v>956</v>
      </c>
      <c r="C565" s="399" t="s">
        <v>2328</v>
      </c>
      <c r="D565" s="399" t="s">
        <v>1823</v>
      </c>
      <c r="E565" s="399" t="s">
        <v>889</v>
      </c>
      <c r="F565" s="399" t="s">
        <v>889</v>
      </c>
      <c r="G565" s="399" t="s">
        <v>1239</v>
      </c>
      <c r="H565" s="399" t="s">
        <v>1239</v>
      </c>
      <c r="I565" s="399" t="s">
        <v>1239</v>
      </c>
      <c r="J565" s="399" t="s">
        <v>2329</v>
      </c>
      <c r="K565" s="789">
        <v>44774</v>
      </c>
      <c r="L565" s="399">
        <v>0</v>
      </c>
      <c r="M565" s="399">
        <v>0</v>
      </c>
      <c r="N565" s="399">
        <v>903.13300000000004</v>
      </c>
      <c r="O565" s="399">
        <v>903.13300000000004</v>
      </c>
      <c r="P565" s="399">
        <v>903.13300000000004</v>
      </c>
      <c r="Q565" s="399">
        <v>903.13300000000004</v>
      </c>
      <c r="R565" s="399"/>
      <c r="S565" s="399">
        <v>521.86</v>
      </c>
      <c r="T565" s="399">
        <v>141.32</v>
      </c>
      <c r="U565" s="399"/>
      <c r="V565" s="399">
        <v>598939.74294000003</v>
      </c>
      <c r="W565" s="399">
        <v>598939.74294000003</v>
      </c>
      <c r="X565" s="399">
        <v>468120.92789000005</v>
      </c>
      <c r="Y565" s="399">
        <v>0</v>
      </c>
      <c r="Z565" s="399">
        <v>54799.439418303722</v>
      </c>
      <c r="AA565" s="399">
        <v>0</v>
      </c>
      <c r="AB565" s="399">
        <v>0</v>
      </c>
      <c r="AC565" s="399">
        <v>0</v>
      </c>
      <c r="AD565" s="399">
        <v>97135.388063294056</v>
      </c>
      <c r="AE565" s="399">
        <v>293473.78621252626</v>
      </c>
      <c r="AF565" s="399">
        <v>127629.78923657764</v>
      </c>
      <c r="AG565" s="399">
        <v>0</v>
      </c>
      <c r="AH565" s="399">
        <v>0</v>
      </c>
      <c r="AI565" s="399">
        <v>0</v>
      </c>
      <c r="AJ565" s="399">
        <v>0</v>
      </c>
      <c r="AK565" s="399">
        <v>0</v>
      </c>
      <c r="AL565" s="399">
        <v>8473.1868961043838</v>
      </c>
      <c r="AM565" s="399"/>
      <c r="AN565" s="399">
        <v>1252.5250684475045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16170.504255365484</v>
      </c>
      <c r="BH565" s="399">
        <v>0</v>
      </c>
      <c r="BI565" s="399">
        <v>3155.53</v>
      </c>
      <c r="BJ565" s="399">
        <v>14578.15</v>
      </c>
      <c r="BK565" s="399">
        <v>77729.02</v>
      </c>
      <c r="BL565" s="399">
        <v>4881</v>
      </c>
      <c r="BM565" s="399"/>
      <c r="BN565" s="399"/>
      <c r="BO565" s="399"/>
      <c r="BP565" s="399"/>
      <c r="BQ565" s="399"/>
      <c r="BR565" s="399"/>
      <c r="BS565" s="399"/>
      <c r="BT565" s="399"/>
      <c r="BU565" s="399"/>
      <c r="BV565" s="399">
        <v>143800.29349194313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468119.37289999996</v>
      </c>
      <c r="CJ565" s="399">
        <v>-130820.4000400001</v>
      </c>
      <c r="CK565" s="399"/>
      <c r="CL565" s="399"/>
      <c r="CM565" s="399"/>
      <c r="CN565" s="399"/>
      <c r="CO565" s="399">
        <v>-130818.81505000002</v>
      </c>
      <c r="CP565" s="399">
        <v>0</v>
      </c>
      <c r="CQ565" s="399">
        <v>31</v>
      </c>
      <c r="CR565" s="399">
        <v>-4024.1234484815504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-462.62701886883588</v>
      </c>
      <c r="DA565" s="399">
        <v>0</v>
      </c>
      <c r="DB565" s="399">
        <v>0</v>
      </c>
      <c r="DC565" s="399">
        <v>0</v>
      </c>
      <c r="DD565" s="399">
        <v>0</v>
      </c>
      <c r="DE565" s="399">
        <v>0</v>
      </c>
      <c r="DF565" s="399">
        <v>0</v>
      </c>
      <c r="DG565" s="399">
        <v>0</v>
      </c>
      <c r="DH565" s="399">
        <v>0</v>
      </c>
      <c r="DI565" s="399">
        <v>-3087.6010561001822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-423.38991800983786</v>
      </c>
      <c r="DP565" s="399">
        <v>-50.505455502708173</v>
      </c>
      <c r="DQ565" s="399">
        <v>0</v>
      </c>
      <c r="DR565" s="399">
        <v>0</v>
      </c>
      <c r="DS565" s="399"/>
      <c r="DT565" s="399"/>
      <c r="DU565" s="399"/>
      <c r="DV565" s="399">
        <v>293473.78621252626</v>
      </c>
      <c r="DW565" s="399">
        <v>0</v>
      </c>
      <c r="DX565" s="399">
        <v>0</v>
      </c>
      <c r="DY565" s="399">
        <v>-130818.81504999998</v>
      </c>
      <c r="DZ565" s="399">
        <v>0</v>
      </c>
      <c r="EA565" s="399">
        <v>0</v>
      </c>
      <c r="EB565" s="399">
        <v>0</v>
      </c>
      <c r="EC565" s="399">
        <v>-126786.36437554957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218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570</v>
      </c>
      <c r="B566" s="399" t="s">
        <v>2360</v>
      </c>
      <c r="C566" s="399" t="s">
        <v>2328</v>
      </c>
      <c r="D566" s="399" t="s">
        <v>1823</v>
      </c>
      <c r="E566" s="399" t="s">
        <v>889</v>
      </c>
      <c r="F566" s="399" t="s">
        <v>889</v>
      </c>
      <c r="G566" s="399" t="s">
        <v>1239</v>
      </c>
      <c r="H566" s="399" t="s">
        <v>1239</v>
      </c>
      <c r="I566" s="399" t="s">
        <v>1239</v>
      </c>
      <c r="J566" s="399" t="s">
        <v>2329</v>
      </c>
      <c r="K566" s="789">
        <v>44774</v>
      </c>
      <c r="L566" s="399">
        <v>0</v>
      </c>
      <c r="M566" s="399">
        <v>0</v>
      </c>
      <c r="N566" s="399">
        <v>-0.26</v>
      </c>
      <c r="O566" s="399">
        <v>-0.26</v>
      </c>
      <c r="P566" s="399">
        <v>-0.26</v>
      </c>
      <c r="Q566" s="399">
        <v>-0.26</v>
      </c>
      <c r="R566" s="399"/>
      <c r="S566" s="399">
        <v>521.86</v>
      </c>
      <c r="T566" s="399">
        <v>141.32</v>
      </c>
      <c r="U566" s="399"/>
      <c r="V566" s="399">
        <v>-172.42680000000001</v>
      </c>
      <c r="W566" s="399">
        <v>-172.42680000000001</v>
      </c>
      <c r="X566" s="399">
        <v>-134.76580000000001</v>
      </c>
      <c r="Y566" s="399">
        <v>0</v>
      </c>
      <c r="Z566" s="399">
        <v>-15.776031048316215</v>
      </c>
      <c r="AA566" s="399">
        <v>0</v>
      </c>
      <c r="AB566" s="399">
        <v>0</v>
      </c>
      <c r="AC566" s="399">
        <v>0</v>
      </c>
      <c r="AD566" s="399">
        <v>-27.963988578046038</v>
      </c>
      <c r="AE566" s="399">
        <v>-84.487206663090404</v>
      </c>
      <c r="AF566" s="399">
        <v>-36.742921808316368</v>
      </c>
      <c r="AG566" s="399">
        <v>0</v>
      </c>
      <c r="AH566" s="399">
        <v>0</v>
      </c>
      <c r="AI566" s="399">
        <v>0</v>
      </c>
      <c r="AJ566" s="399">
        <v>0</v>
      </c>
      <c r="AK566" s="399">
        <v>0</v>
      </c>
      <c r="AL566" s="399">
        <v>-2.439318010732793</v>
      </c>
      <c r="AM566" s="399"/>
      <c r="AN566" s="399">
        <v>-0.360585337703695</v>
      </c>
      <c r="AO566" s="399">
        <v>0</v>
      </c>
      <c r="AP566" s="399">
        <v>0</v>
      </c>
      <c r="AQ566" s="399">
        <v>0</v>
      </c>
      <c r="AR566" s="399">
        <v>0</v>
      </c>
      <c r="AS566" s="399">
        <v>0</v>
      </c>
      <c r="AT566" s="399">
        <v>0</v>
      </c>
      <c r="AU566" s="399">
        <v>0</v>
      </c>
      <c r="AV566" s="399">
        <v>0</v>
      </c>
      <c r="AW566" s="399">
        <v>0</v>
      </c>
      <c r="AX566" s="399">
        <v>0</v>
      </c>
      <c r="AY566" s="399">
        <v>0</v>
      </c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>
        <v>0</v>
      </c>
      <c r="BG566" s="399">
        <v>-4.6552734828591422</v>
      </c>
      <c r="BH566" s="399">
        <v>0</v>
      </c>
      <c r="BI566" s="399">
        <v>-0.91</v>
      </c>
      <c r="BJ566" s="399">
        <v>-4.1900000000000004</v>
      </c>
      <c r="BK566" s="399">
        <v>-24.96</v>
      </c>
      <c r="BL566" s="399">
        <v>0</v>
      </c>
      <c r="BM566" s="399"/>
      <c r="BN566" s="399"/>
      <c r="BO566" s="399"/>
      <c r="BP566" s="399"/>
      <c r="BQ566" s="399"/>
      <c r="BR566" s="399"/>
      <c r="BS566" s="399"/>
      <c r="BT566" s="399"/>
      <c r="BU566" s="399"/>
      <c r="BV566" s="399">
        <v>-41.398195291175512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-134.76580000000001</v>
      </c>
      <c r="CJ566" s="399">
        <v>37.631000000000029</v>
      </c>
      <c r="CK566" s="399"/>
      <c r="CL566" s="399"/>
      <c r="CM566" s="399"/>
      <c r="CN566" s="399"/>
      <c r="CO566" s="399">
        <v>37.661000000000008</v>
      </c>
      <c r="CP566" s="399">
        <v>0</v>
      </c>
      <c r="CQ566" s="399">
        <v>31</v>
      </c>
      <c r="CR566" s="399">
        <v>1.1584917134078836</v>
      </c>
      <c r="CS566" s="399">
        <v>0</v>
      </c>
      <c r="CT566" s="399">
        <v>0</v>
      </c>
      <c r="CU566" s="399">
        <v>0</v>
      </c>
      <c r="CV566" s="399">
        <v>0</v>
      </c>
      <c r="CW566" s="399">
        <v>0</v>
      </c>
      <c r="CX566" s="399">
        <v>0</v>
      </c>
      <c r="CY566" s="399">
        <v>0</v>
      </c>
      <c r="CZ566" s="399">
        <v>0.13318417653423609</v>
      </c>
      <c r="DA566" s="399">
        <v>0</v>
      </c>
      <c r="DB566" s="399">
        <v>0</v>
      </c>
      <c r="DC566" s="399">
        <v>0</v>
      </c>
      <c r="DD566" s="399">
        <v>0</v>
      </c>
      <c r="DE566" s="399">
        <v>0</v>
      </c>
      <c r="DF566" s="399">
        <v>0</v>
      </c>
      <c r="DG566" s="399">
        <v>0</v>
      </c>
      <c r="DH566" s="399">
        <v>0</v>
      </c>
      <c r="DI566" s="399">
        <v>0.8888793506449737</v>
      </c>
      <c r="DJ566" s="399"/>
      <c r="DK566" s="399">
        <v>0</v>
      </c>
      <c r="DL566" s="399">
        <v>0</v>
      </c>
      <c r="DM566" s="399">
        <v>0</v>
      </c>
      <c r="DN566" s="399">
        <v>0</v>
      </c>
      <c r="DO566" s="399">
        <v>0.12188833613936989</v>
      </c>
      <c r="DP566" s="399">
        <v>1.4539850089304807E-2</v>
      </c>
      <c r="DQ566" s="399">
        <v>0</v>
      </c>
      <c r="DR566" s="399">
        <v>0</v>
      </c>
      <c r="DS566" s="399"/>
      <c r="DT566" s="399"/>
      <c r="DU566" s="399"/>
      <c r="DV566" s="399">
        <v>-84.487206663090404</v>
      </c>
      <c r="DW566" s="399">
        <v>0</v>
      </c>
      <c r="DX566" s="399">
        <v>0</v>
      </c>
      <c r="DY566" s="399">
        <v>37.661000000000016</v>
      </c>
      <c r="DZ566" s="399">
        <v>0</v>
      </c>
      <c r="EA566" s="399">
        <v>0</v>
      </c>
      <c r="EB566" s="399">
        <v>0</v>
      </c>
      <c r="EC566" s="399">
        <v>36.500110988794439</v>
      </c>
      <c r="ED566" s="399">
        <v>0</v>
      </c>
      <c r="EE566" s="399">
        <v>0</v>
      </c>
      <c r="EF566" s="399">
        <v>0</v>
      </c>
      <c r="EG566" s="399">
        <v>0</v>
      </c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>
        <v>0</v>
      </c>
      <c r="EN566" s="399">
        <v>0</v>
      </c>
      <c r="EO566" s="399">
        <v>0</v>
      </c>
      <c r="EP566" s="399">
        <v>0</v>
      </c>
      <c r="EQ566" s="399">
        <v>0</v>
      </c>
      <c r="ER566" s="399">
        <v>0</v>
      </c>
      <c r="ES566" s="399">
        <v>0</v>
      </c>
      <c r="ET566" s="399">
        <v>0</v>
      </c>
      <c r="EU566" s="399">
        <v>0</v>
      </c>
      <c r="EV566" s="399">
        <v>218</v>
      </c>
      <c r="EW566" s="399">
        <v>0</v>
      </c>
      <c r="EX566" s="399">
        <v>0</v>
      </c>
      <c r="EY566" s="399">
        <v>0</v>
      </c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571</v>
      </c>
      <c r="B567" s="399" t="s">
        <v>2361</v>
      </c>
      <c r="C567" s="399" t="s">
        <v>2328</v>
      </c>
      <c r="D567" s="399" t="s">
        <v>1823</v>
      </c>
      <c r="E567" s="399" t="s">
        <v>889</v>
      </c>
      <c r="F567" s="399" t="s">
        <v>889</v>
      </c>
      <c r="G567" s="399" t="s">
        <v>1239</v>
      </c>
      <c r="H567" s="399" t="s">
        <v>1239</v>
      </c>
      <c r="I567" s="399" t="s">
        <v>1239</v>
      </c>
      <c r="J567" s="399" t="s">
        <v>2329</v>
      </c>
      <c r="K567" s="789">
        <v>44774</v>
      </c>
      <c r="L567" s="399">
        <v>0</v>
      </c>
      <c r="M567" s="399">
        <v>0</v>
      </c>
      <c r="N567" s="399">
        <v>14.824</v>
      </c>
      <c r="O567" s="399">
        <v>14.824</v>
      </c>
      <c r="P567" s="399">
        <v>14.824</v>
      </c>
      <c r="Q567" s="399">
        <v>14.824</v>
      </c>
      <c r="R567" s="399"/>
      <c r="S567" s="399">
        <v>521.86</v>
      </c>
      <c r="T567" s="399">
        <v>141.32</v>
      </c>
      <c r="U567" s="399"/>
      <c r="V567" s="399">
        <v>9830.9803199999988</v>
      </c>
      <c r="W567" s="399">
        <v>9830.9803199999988</v>
      </c>
      <c r="X567" s="399">
        <v>7683.7239199999995</v>
      </c>
      <c r="Y567" s="399">
        <v>0</v>
      </c>
      <c r="Z567" s="399">
        <v>899.47647792399823</v>
      </c>
      <c r="AA567" s="399">
        <v>0</v>
      </c>
      <c r="AB567" s="399">
        <v>0</v>
      </c>
      <c r="AC567" s="399">
        <v>0</v>
      </c>
      <c r="AD567" s="399">
        <v>1594.3775641575173</v>
      </c>
      <c r="AE567" s="399">
        <v>4817.0705829755852</v>
      </c>
      <c r="AF567" s="399">
        <v>2094.9118187941608</v>
      </c>
      <c r="AG567" s="399">
        <v>0</v>
      </c>
      <c r="AH567" s="399">
        <v>0</v>
      </c>
      <c r="AI567" s="399">
        <v>0</v>
      </c>
      <c r="AJ567" s="399">
        <v>0</v>
      </c>
      <c r="AK567" s="399">
        <v>0</v>
      </c>
      <c r="AL567" s="399">
        <v>139.0786545811651</v>
      </c>
      <c r="AM567" s="399"/>
      <c r="AN567" s="399">
        <v>20.558911715844516</v>
      </c>
      <c r="AO567" s="399">
        <v>0</v>
      </c>
      <c r="AP567" s="399">
        <v>0</v>
      </c>
      <c r="AQ567" s="399">
        <v>0</v>
      </c>
      <c r="AR567" s="399">
        <v>0</v>
      </c>
      <c r="AS567" s="399">
        <v>0</v>
      </c>
      <c r="AT567" s="399">
        <v>0</v>
      </c>
      <c r="AU567" s="399">
        <v>0</v>
      </c>
      <c r="AV567" s="399">
        <v>0</v>
      </c>
      <c r="AW567" s="399">
        <v>0</v>
      </c>
      <c r="AX567" s="399">
        <v>0</v>
      </c>
      <c r="AY567" s="399">
        <v>0</v>
      </c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>
        <v>0</v>
      </c>
      <c r="BG567" s="399">
        <v>265.42220811501505</v>
      </c>
      <c r="BH567" s="399">
        <v>0</v>
      </c>
      <c r="BI567" s="399">
        <v>51.42</v>
      </c>
      <c r="BJ567" s="399">
        <v>239.53</v>
      </c>
      <c r="BK567" s="399">
        <v>5232.43</v>
      </c>
      <c r="BL567" s="399">
        <v>152</v>
      </c>
      <c r="BM567" s="399"/>
      <c r="BN567" s="399"/>
      <c r="BO567" s="399"/>
      <c r="BP567" s="399"/>
      <c r="BQ567" s="399"/>
      <c r="BR567" s="399"/>
      <c r="BS567" s="399"/>
      <c r="BT567" s="399"/>
      <c r="BU567" s="399"/>
      <c r="BV567" s="399">
        <v>2360.3340269091759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7681.6505999999999</v>
      </c>
      <c r="CJ567" s="399">
        <v>-2149.3597199999995</v>
      </c>
      <c r="CK567" s="399"/>
      <c r="CL567" s="399"/>
      <c r="CM567" s="399"/>
      <c r="CN567" s="399"/>
      <c r="CO567" s="399">
        <v>-2147.2564000000002</v>
      </c>
      <c r="CP567" s="399">
        <v>0</v>
      </c>
      <c r="CQ567" s="399">
        <v>31</v>
      </c>
      <c r="CR567" s="399">
        <v>-66.051850613685929</v>
      </c>
      <c r="CS567" s="399">
        <v>0</v>
      </c>
      <c r="CT567" s="399">
        <v>0</v>
      </c>
      <c r="CU567" s="399">
        <v>0</v>
      </c>
      <c r="CV567" s="399">
        <v>0</v>
      </c>
      <c r="CW567" s="399">
        <v>0</v>
      </c>
      <c r="CX567" s="399">
        <v>0</v>
      </c>
      <c r="CY567" s="399">
        <v>0</v>
      </c>
      <c r="CZ567" s="399">
        <v>-7.5935470497829556</v>
      </c>
      <c r="DA567" s="399">
        <v>0</v>
      </c>
      <c r="DB567" s="399">
        <v>0</v>
      </c>
      <c r="DC567" s="399">
        <v>0</v>
      </c>
      <c r="DD567" s="399">
        <v>0</v>
      </c>
      <c r="DE567" s="399">
        <v>0</v>
      </c>
      <c r="DF567" s="399">
        <v>0</v>
      </c>
      <c r="DG567" s="399">
        <v>0</v>
      </c>
      <c r="DH567" s="399">
        <v>0</v>
      </c>
      <c r="DI567" s="399">
        <v>-50.679798053696459</v>
      </c>
      <c r="DJ567" s="399"/>
      <c r="DK567" s="399">
        <v>0</v>
      </c>
      <c r="DL567" s="399">
        <v>0</v>
      </c>
      <c r="DM567" s="399">
        <v>0</v>
      </c>
      <c r="DN567" s="399">
        <v>0</v>
      </c>
      <c r="DO567" s="399">
        <v>-6.9495103651154579</v>
      </c>
      <c r="DP567" s="399">
        <v>-0.82899514509174566</v>
      </c>
      <c r="DQ567" s="399">
        <v>0</v>
      </c>
      <c r="DR567" s="399">
        <v>0</v>
      </c>
      <c r="DS567" s="399"/>
      <c r="DT567" s="399"/>
      <c r="DU567" s="399"/>
      <c r="DV567" s="399">
        <v>4817.0705829755852</v>
      </c>
      <c r="DW567" s="399">
        <v>0</v>
      </c>
      <c r="DX567" s="399">
        <v>0</v>
      </c>
      <c r="DY567" s="399">
        <v>-2147.2564000000002</v>
      </c>
      <c r="DZ567" s="399">
        <v>0</v>
      </c>
      <c r="EA567" s="399">
        <v>0</v>
      </c>
      <c r="EB567" s="399">
        <v>0</v>
      </c>
      <c r="EC567" s="399">
        <v>-2081.0678665303417</v>
      </c>
      <c r="ED567" s="399">
        <v>0</v>
      </c>
      <c r="EE567" s="399">
        <v>0</v>
      </c>
      <c r="EF567" s="399">
        <v>0</v>
      </c>
      <c r="EG567" s="399">
        <v>0</v>
      </c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>
        <v>0</v>
      </c>
      <c r="EN567" s="399">
        <v>0</v>
      </c>
      <c r="EO567" s="399">
        <v>0</v>
      </c>
      <c r="EP567" s="399">
        <v>0</v>
      </c>
      <c r="EQ567" s="399">
        <v>0</v>
      </c>
      <c r="ER567" s="399">
        <v>0</v>
      </c>
      <c r="ES567" s="399">
        <v>0</v>
      </c>
      <c r="ET567" s="399">
        <v>0</v>
      </c>
      <c r="EU567" s="399">
        <v>0</v>
      </c>
      <c r="EV567" s="399">
        <v>218</v>
      </c>
      <c r="EW567" s="399">
        <v>0</v>
      </c>
      <c r="EX567" s="399">
        <v>0</v>
      </c>
      <c r="EY567" s="399">
        <v>0</v>
      </c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572</v>
      </c>
      <c r="B568" s="399" t="s">
        <v>2361</v>
      </c>
      <c r="C568" s="399" t="s">
        <v>2328</v>
      </c>
      <c r="D568" s="399" t="s">
        <v>1823</v>
      </c>
      <c r="E568" s="399" t="s">
        <v>889</v>
      </c>
      <c r="F568" s="399" t="s">
        <v>889</v>
      </c>
      <c r="G568" s="399" t="s">
        <v>1239</v>
      </c>
      <c r="H568" s="399" t="s">
        <v>1239</v>
      </c>
      <c r="I568" s="399" t="s">
        <v>1239</v>
      </c>
      <c r="J568" s="399" t="s">
        <v>2329</v>
      </c>
      <c r="K568" s="789">
        <v>44774</v>
      </c>
      <c r="L568" s="399">
        <v>0</v>
      </c>
      <c r="M568" s="399">
        <v>0</v>
      </c>
      <c r="N568" s="399">
        <v>-0.41299999999999998</v>
      </c>
      <c r="O568" s="399">
        <v>-0.41299999999999998</v>
      </c>
      <c r="P568" s="399">
        <v>-0.41299999999999998</v>
      </c>
      <c r="Q568" s="399">
        <v>-0.41299999999999998</v>
      </c>
      <c r="R568" s="399"/>
      <c r="S568" s="399">
        <v>521.86</v>
      </c>
      <c r="T568" s="399">
        <v>141.32</v>
      </c>
      <c r="U568" s="399"/>
      <c r="V568" s="399">
        <v>-273.89333999999997</v>
      </c>
      <c r="W568" s="399">
        <v>-273.89333999999997</v>
      </c>
      <c r="X568" s="399">
        <v>-214.07029</v>
      </c>
      <c r="Y568" s="399">
        <v>0</v>
      </c>
      <c r="Z568" s="399">
        <v>-25.05961854982537</v>
      </c>
      <c r="AA568" s="399">
        <v>0</v>
      </c>
      <c r="AB568" s="399">
        <v>0</v>
      </c>
      <c r="AC568" s="399">
        <v>0</v>
      </c>
      <c r="AD568" s="399">
        <v>-44.4197203182039</v>
      </c>
      <c r="AE568" s="399">
        <v>-134.20467827637052</v>
      </c>
      <c r="AF568" s="399">
        <v>-58.364718103210222</v>
      </c>
      <c r="AG568" s="399">
        <v>0</v>
      </c>
      <c r="AH568" s="399">
        <v>0</v>
      </c>
      <c r="AI568" s="399">
        <v>0</v>
      </c>
      <c r="AJ568" s="399">
        <v>0</v>
      </c>
      <c r="AK568" s="399">
        <v>0</v>
      </c>
      <c r="AL568" s="399">
        <v>-3.8747628401255518</v>
      </c>
      <c r="AM568" s="399"/>
      <c r="AN568" s="399">
        <v>-0.57277594027548473</v>
      </c>
      <c r="AO568" s="399">
        <v>0</v>
      </c>
      <c r="AP568" s="399">
        <v>0</v>
      </c>
      <c r="AQ568" s="399">
        <v>0</v>
      </c>
      <c r="AR568" s="399">
        <v>0</v>
      </c>
      <c r="AS568" s="399">
        <v>0</v>
      </c>
      <c r="AT568" s="399">
        <v>0</v>
      </c>
      <c r="AU568" s="399">
        <v>0</v>
      </c>
      <c r="AV568" s="399">
        <v>0</v>
      </c>
      <c r="AW568" s="399">
        <v>0</v>
      </c>
      <c r="AX568" s="399">
        <v>0</v>
      </c>
      <c r="AY568" s="399">
        <v>0</v>
      </c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>
        <v>0</v>
      </c>
      <c r="BG568" s="399">
        <v>-7.3947228785416366</v>
      </c>
      <c r="BH568" s="399">
        <v>0</v>
      </c>
      <c r="BI568" s="399">
        <v>-1.45</v>
      </c>
      <c r="BJ568" s="399">
        <v>-6.65</v>
      </c>
      <c r="BK568" s="399">
        <v>-45.32</v>
      </c>
      <c r="BL568" s="399">
        <v>2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-65.759440981751865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-212.51529999999997</v>
      </c>
      <c r="CJ568" s="399">
        <v>61.348040000000026</v>
      </c>
      <c r="CK568" s="399"/>
      <c r="CL568" s="399"/>
      <c r="CM568" s="399"/>
      <c r="CN568" s="399"/>
      <c r="CO568" s="399">
        <v>59.823050000000009</v>
      </c>
      <c r="CP568" s="399">
        <v>0</v>
      </c>
      <c r="CQ568" s="399">
        <v>31</v>
      </c>
      <c r="CR568" s="399">
        <v>1.8402195293748491</v>
      </c>
      <c r="CS568" s="399">
        <v>0</v>
      </c>
      <c r="CT568" s="399">
        <v>0</v>
      </c>
      <c r="CU568" s="399">
        <v>0</v>
      </c>
      <c r="CV568" s="399">
        <v>0</v>
      </c>
      <c r="CW568" s="399">
        <v>0</v>
      </c>
      <c r="CX568" s="399">
        <v>0</v>
      </c>
      <c r="CY568" s="399">
        <v>0</v>
      </c>
      <c r="CZ568" s="399">
        <v>0.21155794195630762</v>
      </c>
      <c r="DA568" s="399">
        <v>0</v>
      </c>
      <c r="DB568" s="399">
        <v>0</v>
      </c>
      <c r="DC568" s="399">
        <v>0</v>
      </c>
      <c r="DD568" s="399">
        <v>0</v>
      </c>
      <c r="DE568" s="399">
        <v>0</v>
      </c>
      <c r="DF568" s="399">
        <v>0</v>
      </c>
      <c r="DG568" s="399">
        <v>0</v>
      </c>
      <c r="DH568" s="399">
        <v>0</v>
      </c>
      <c r="DI568" s="399">
        <v>1.4119506608322077</v>
      </c>
      <c r="DJ568" s="399"/>
      <c r="DK568" s="399">
        <v>0</v>
      </c>
      <c r="DL568" s="399">
        <v>0</v>
      </c>
      <c r="DM568" s="399">
        <v>0</v>
      </c>
      <c r="DN568" s="399">
        <v>0</v>
      </c>
      <c r="DO568" s="399">
        <v>0.19361493394446061</v>
      </c>
      <c r="DP568" s="399">
        <v>2.3095992641857244E-2</v>
      </c>
      <c r="DQ568" s="399">
        <v>0</v>
      </c>
      <c r="DR568" s="399">
        <v>0</v>
      </c>
      <c r="DS568" s="399"/>
      <c r="DT568" s="399"/>
      <c r="DU568" s="399"/>
      <c r="DV568" s="399">
        <v>-134.20467827637052</v>
      </c>
      <c r="DW568" s="399">
        <v>0</v>
      </c>
      <c r="DX568" s="399">
        <v>0</v>
      </c>
      <c r="DY568" s="399">
        <v>59.823049999999995</v>
      </c>
      <c r="DZ568" s="399">
        <v>0</v>
      </c>
      <c r="EA568" s="399">
        <v>0</v>
      </c>
      <c r="EB568" s="399">
        <v>0</v>
      </c>
      <c r="EC568" s="399">
        <v>57.979022455277317</v>
      </c>
      <c r="ED568" s="399">
        <v>0</v>
      </c>
      <c r="EE568" s="399">
        <v>0</v>
      </c>
      <c r="EF568" s="399">
        <v>0</v>
      </c>
      <c r="EG568" s="399">
        <v>0</v>
      </c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>
        <v>0</v>
      </c>
      <c r="EN568" s="399">
        <v>0</v>
      </c>
      <c r="EO568" s="399">
        <v>0</v>
      </c>
      <c r="EP568" s="399">
        <v>0</v>
      </c>
      <c r="EQ568" s="399">
        <v>0</v>
      </c>
      <c r="ER568" s="399">
        <v>0</v>
      </c>
      <c r="ES568" s="399">
        <v>0</v>
      </c>
      <c r="ET568" s="399">
        <v>0</v>
      </c>
      <c r="EU568" s="399">
        <v>0</v>
      </c>
      <c r="EV568" s="399">
        <v>218</v>
      </c>
      <c r="EW568" s="399">
        <v>0</v>
      </c>
      <c r="EX568" s="399">
        <v>0</v>
      </c>
      <c r="EY568" s="399">
        <v>0</v>
      </c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573</v>
      </c>
      <c r="B569" s="399" t="s">
        <v>956</v>
      </c>
      <c r="C569" s="399" t="s">
        <v>2328</v>
      </c>
      <c r="D569" s="399" t="s">
        <v>1823</v>
      </c>
      <c r="E569" s="399" t="s">
        <v>889</v>
      </c>
      <c r="F569" s="399" t="s">
        <v>2330</v>
      </c>
      <c r="G569" s="399" t="s">
        <v>1239</v>
      </c>
      <c r="H569" s="399" t="s">
        <v>1239</v>
      </c>
      <c r="I569" s="399" t="s">
        <v>1239</v>
      </c>
      <c r="J569" s="399" t="s">
        <v>2329</v>
      </c>
      <c r="K569" s="789">
        <v>44774</v>
      </c>
      <c r="L569" s="399">
        <v>0</v>
      </c>
      <c r="M569" s="399">
        <v>0</v>
      </c>
      <c r="N569" s="399">
        <v>3.93</v>
      </c>
      <c r="O569" s="399">
        <v>3.93</v>
      </c>
      <c r="P569" s="399">
        <v>3.93</v>
      </c>
      <c r="Q569" s="399">
        <v>3.93</v>
      </c>
      <c r="R569" s="399"/>
      <c r="S569" s="399">
        <v>451.8</v>
      </c>
      <c r="T569" s="399">
        <v>141.32</v>
      </c>
      <c r="U569" s="399"/>
      <c r="V569" s="399">
        <v>2330.9616000000001</v>
      </c>
      <c r="W569" s="399">
        <v>2330.9616000000001</v>
      </c>
      <c r="X569" s="399">
        <v>1776.9888000000001</v>
      </c>
      <c r="Y569" s="399">
        <v>0</v>
      </c>
      <c r="Z569" s="399">
        <v>0</v>
      </c>
      <c r="AA569" s="399">
        <v>0</v>
      </c>
      <c r="AB569" s="399">
        <v>0</v>
      </c>
      <c r="AC569" s="399">
        <v>0</v>
      </c>
      <c r="AD569" s="399">
        <v>422.68644273738823</v>
      </c>
      <c r="AE569" s="399">
        <v>1277.0566237920973</v>
      </c>
      <c r="AF569" s="399">
        <v>555.38339502570511</v>
      </c>
      <c r="AG569" s="399">
        <v>0</v>
      </c>
      <c r="AH569" s="399">
        <v>0</v>
      </c>
      <c r="AI569" s="399">
        <v>0</v>
      </c>
      <c r="AJ569" s="399">
        <v>0</v>
      </c>
      <c r="AK569" s="399">
        <v>0</v>
      </c>
      <c r="AL569" s="399">
        <v>0</v>
      </c>
      <c r="AM569" s="399"/>
      <c r="AN569" s="399">
        <v>5.4503860660596972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70.366249183217036</v>
      </c>
      <c r="BH569" s="399">
        <v>0</v>
      </c>
      <c r="BI569" s="399">
        <v>13.76</v>
      </c>
      <c r="BJ569" s="399">
        <v>63.52</v>
      </c>
      <c r="BK569" s="399">
        <v>95.62</v>
      </c>
      <c r="BL569" s="399">
        <v>7</v>
      </c>
      <c r="BM569" s="399"/>
      <c r="BN569" s="399"/>
      <c r="BO569" s="399"/>
      <c r="BP569" s="399"/>
      <c r="BQ569" s="399"/>
      <c r="BR569" s="399"/>
      <c r="BS569" s="399"/>
      <c r="BT569" s="399">
        <v>1155.0269999999998</v>
      </c>
      <c r="BU569" s="399"/>
      <c r="BV569" s="399">
        <v>625.74964420892218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621.96180000000004</v>
      </c>
      <c r="CJ569" s="399">
        <v>-193.89689999999996</v>
      </c>
      <c r="CK569" s="399"/>
      <c r="CL569" s="399"/>
      <c r="CM569" s="399"/>
      <c r="CN569" s="399"/>
      <c r="CO569" s="399">
        <v>-553.97280000000012</v>
      </c>
      <c r="CP569" s="399">
        <v>0</v>
      </c>
      <c r="CQ569" s="399">
        <v>31</v>
      </c>
      <c r="CR569" s="399">
        <v>-2.2329054793481191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-2.0131300529982923</v>
      </c>
      <c r="DA569" s="399">
        <v>0</v>
      </c>
      <c r="DB569" s="399">
        <v>0</v>
      </c>
      <c r="DC569" s="399">
        <v>0</v>
      </c>
      <c r="DD569" s="399">
        <v>0</v>
      </c>
      <c r="DE569" s="399">
        <v>0</v>
      </c>
      <c r="DF569" s="399">
        <v>0</v>
      </c>
      <c r="DG569" s="399">
        <v>0</v>
      </c>
      <c r="DH569" s="399">
        <v>0</v>
      </c>
      <c r="DI569" s="399">
        <v>0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0</v>
      </c>
      <c r="DP569" s="399">
        <v>-0.21977542634987657</v>
      </c>
      <c r="DQ569" s="399">
        <v>0</v>
      </c>
      <c r="DR569" s="399">
        <v>0</v>
      </c>
      <c r="DS569" s="399"/>
      <c r="DT569" s="399"/>
      <c r="DU569" s="399"/>
      <c r="DV569" s="399">
        <v>1277.0566237920973</v>
      </c>
      <c r="DW569" s="399">
        <v>0</v>
      </c>
      <c r="DX569" s="399">
        <v>0</v>
      </c>
      <c r="DY569" s="399">
        <v>-553.97280000000001</v>
      </c>
      <c r="DZ569" s="399">
        <v>0</v>
      </c>
      <c r="EA569" s="399">
        <v>0</v>
      </c>
      <c r="EB569" s="399">
        <v>0</v>
      </c>
      <c r="EC569" s="399">
        <v>-551.71321609985444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0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218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574</v>
      </c>
      <c r="B570" s="399" t="s">
        <v>2361</v>
      </c>
      <c r="C570" s="399" t="s">
        <v>2328</v>
      </c>
      <c r="D570" s="399" t="s">
        <v>1823</v>
      </c>
      <c r="E570" s="399" t="s">
        <v>889</v>
      </c>
      <c r="F570" s="399" t="s">
        <v>2330</v>
      </c>
      <c r="G570" s="399" t="s">
        <v>1239</v>
      </c>
      <c r="H570" s="399" t="s">
        <v>1239</v>
      </c>
      <c r="I570" s="399" t="s">
        <v>1239</v>
      </c>
      <c r="J570" s="399" t="s">
        <v>2329</v>
      </c>
      <c r="K570" s="789">
        <v>44774</v>
      </c>
      <c r="L570" s="399">
        <v>0</v>
      </c>
      <c r="M570" s="399">
        <v>0</v>
      </c>
      <c r="N570" s="399">
        <v>0</v>
      </c>
      <c r="O570" s="399">
        <v>0</v>
      </c>
      <c r="P570" s="399">
        <v>0</v>
      </c>
      <c r="Q570" s="399">
        <v>0</v>
      </c>
      <c r="R570" s="399"/>
      <c r="S570" s="399"/>
      <c r="T570" s="399"/>
      <c r="U570" s="399"/>
      <c r="V570" s="399"/>
      <c r="W570" s="399"/>
      <c r="X570" s="399"/>
      <c r="Y570" s="399"/>
      <c r="Z570" s="399"/>
      <c r="AA570" s="399">
        <v>0</v>
      </c>
      <c r="AB570" s="399"/>
      <c r="AC570" s="399"/>
      <c r="AD570" s="399"/>
      <c r="AE570" s="399"/>
      <c r="AF570" s="399"/>
      <c r="AG570" s="399"/>
      <c r="AH570" s="399"/>
      <c r="AI570" s="399"/>
      <c r="AJ570" s="399"/>
      <c r="AK570" s="399"/>
      <c r="AL570" s="399"/>
      <c r="AM570" s="399"/>
      <c r="AN570" s="399"/>
      <c r="AO570" s="399"/>
      <c r="AP570" s="399"/>
      <c r="AQ570" s="399"/>
      <c r="AR570" s="399"/>
      <c r="AS570" s="399"/>
      <c r="AT570" s="399"/>
      <c r="AU570" s="399"/>
      <c r="AV570" s="399"/>
      <c r="AW570" s="399"/>
      <c r="AX570" s="399"/>
      <c r="AY570" s="399"/>
      <c r="AZ570" s="399">
        <v>0</v>
      </c>
      <c r="BA570" s="399"/>
      <c r="BB570" s="399"/>
      <c r="BC570" s="399"/>
      <c r="BD570" s="399"/>
      <c r="BE570" s="399"/>
      <c r="BF570" s="399"/>
      <c r="BG570" s="399"/>
      <c r="BH570" s="399"/>
      <c r="BI570" s="399">
        <v>0</v>
      </c>
      <c r="BJ570" s="399">
        <v>0</v>
      </c>
      <c r="BK570" s="399">
        <v>0.44</v>
      </c>
      <c r="BL570" s="399">
        <v>0</v>
      </c>
      <c r="BM570" s="399"/>
      <c r="BN570" s="399"/>
      <c r="BO570" s="399"/>
      <c r="BP570" s="399"/>
      <c r="BQ570" s="399"/>
      <c r="BR570" s="399"/>
      <c r="BS570" s="399"/>
      <c r="BT570" s="399"/>
      <c r="BU570" s="399"/>
      <c r="BV570" s="399"/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/>
      <c r="CJ570" s="399">
        <v>-0.03</v>
      </c>
      <c r="CK570" s="399"/>
      <c r="CL570" s="399"/>
      <c r="CM570" s="399"/>
      <c r="CN570" s="399"/>
      <c r="CO570" s="399">
        <v>0</v>
      </c>
      <c r="CP570" s="399">
        <v>0</v>
      </c>
      <c r="CQ570" s="399">
        <v>31</v>
      </c>
      <c r="CR570" s="399"/>
      <c r="CS570" s="399"/>
      <c r="CT570" s="399"/>
      <c r="CU570" s="399"/>
      <c r="CV570" s="399"/>
      <c r="CW570" s="399"/>
      <c r="CX570" s="399"/>
      <c r="CY570" s="399"/>
      <c r="CZ570" s="399"/>
      <c r="DA570" s="399"/>
      <c r="DB570" s="399"/>
      <c r="DC570" s="399"/>
      <c r="DD570" s="399"/>
      <c r="DE570" s="399"/>
      <c r="DF570" s="399"/>
      <c r="DG570" s="399"/>
      <c r="DH570" s="399"/>
      <c r="DI570" s="399"/>
      <c r="DJ570" s="399"/>
      <c r="DK570" s="399">
        <v>0</v>
      </c>
      <c r="DL570" s="399"/>
      <c r="DM570" s="399"/>
      <c r="DN570" s="399"/>
      <c r="DO570" s="399"/>
      <c r="DP570" s="399"/>
      <c r="DQ570" s="399"/>
      <c r="DR570" s="399"/>
      <c r="DS570" s="399"/>
      <c r="DT570" s="399"/>
      <c r="DU570" s="399"/>
      <c r="DV570" s="399"/>
      <c r="DW570" s="399"/>
      <c r="DX570" s="399"/>
      <c r="DY570" s="399"/>
      <c r="DZ570" s="399"/>
      <c r="EA570" s="399"/>
      <c r="EB570" s="399"/>
      <c r="EC570" s="399"/>
      <c r="ED570" s="399"/>
      <c r="EE570" s="399"/>
      <c r="EF570" s="399"/>
      <c r="EG570" s="399"/>
      <c r="EH570" s="399"/>
      <c r="EI570" s="399"/>
      <c r="EJ570" s="399"/>
      <c r="EK570" s="399"/>
      <c r="EL570" s="399"/>
      <c r="EM570" s="399"/>
      <c r="EN570" s="399"/>
      <c r="EO570" s="399"/>
      <c r="EP570" s="399"/>
      <c r="EQ570" s="399"/>
      <c r="ER570" s="399"/>
      <c r="ES570" s="399"/>
      <c r="ET570" s="399"/>
      <c r="EU570" s="399"/>
      <c r="EV570" s="399">
        <v>218</v>
      </c>
      <c r="EW570" s="399"/>
      <c r="EX570" s="399"/>
      <c r="EY570" s="399"/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575</v>
      </c>
      <c r="B571" s="399" t="s">
        <v>956</v>
      </c>
      <c r="C571" s="399" t="s">
        <v>2328</v>
      </c>
      <c r="D571" s="399" t="s">
        <v>1823</v>
      </c>
      <c r="E571" s="399" t="s">
        <v>889</v>
      </c>
      <c r="F571" s="399" t="s">
        <v>2331</v>
      </c>
      <c r="G571" s="399" t="s">
        <v>1239</v>
      </c>
      <c r="H571" s="399" t="s">
        <v>1239</v>
      </c>
      <c r="I571" s="399" t="s">
        <v>1239</v>
      </c>
      <c r="J571" s="399" t="s">
        <v>2329</v>
      </c>
      <c r="K571" s="789">
        <v>44774</v>
      </c>
      <c r="L571" s="399">
        <v>0</v>
      </c>
      <c r="M571" s="399">
        <v>0</v>
      </c>
      <c r="N571" s="399">
        <v>7.5730000000000004</v>
      </c>
      <c r="O571" s="399">
        <v>7.5730000000000004</v>
      </c>
      <c r="P571" s="399">
        <v>7.5730000000000004</v>
      </c>
      <c r="Q571" s="399">
        <v>7.5730000000000004</v>
      </c>
      <c r="R571" s="399"/>
      <c r="S571" s="399">
        <v>451.8</v>
      </c>
      <c r="T571" s="399">
        <v>141.32</v>
      </c>
      <c r="U571" s="399"/>
      <c r="V571" s="399">
        <v>4491.69776</v>
      </c>
      <c r="W571" s="399">
        <v>4491.69776</v>
      </c>
      <c r="X571" s="399">
        <v>3424.20768</v>
      </c>
      <c r="Y571" s="399">
        <v>0</v>
      </c>
      <c r="Z571" s="399">
        <v>0</v>
      </c>
      <c r="AA571" s="399">
        <v>0</v>
      </c>
      <c r="AB571" s="399">
        <v>0</v>
      </c>
      <c r="AC571" s="399">
        <v>0</v>
      </c>
      <c r="AD571" s="399">
        <v>814.5049442367025</v>
      </c>
      <c r="AE571" s="399">
        <v>2460.8523694599371</v>
      </c>
      <c r="AF571" s="399">
        <v>1070.2082571322301</v>
      </c>
      <c r="AG571" s="399">
        <v>0</v>
      </c>
      <c r="AH571" s="399">
        <v>0</v>
      </c>
      <c r="AI571" s="399">
        <v>0</v>
      </c>
      <c r="AJ571" s="399">
        <v>0</v>
      </c>
      <c r="AK571" s="399">
        <v>0</v>
      </c>
      <c r="AL571" s="399">
        <v>0</v>
      </c>
      <c r="AM571" s="399"/>
      <c r="AN571" s="399">
        <v>10.502741393961855</v>
      </c>
      <c r="AO571" s="399">
        <v>0</v>
      </c>
      <c r="AP571" s="399">
        <v>0</v>
      </c>
      <c r="AQ571" s="399">
        <v>0</v>
      </c>
      <c r="AR571" s="399">
        <v>0</v>
      </c>
      <c r="AS571" s="399">
        <v>0</v>
      </c>
      <c r="AT571" s="399">
        <v>0</v>
      </c>
      <c r="AU571" s="399">
        <v>0</v>
      </c>
      <c r="AV571" s="399">
        <v>0</v>
      </c>
      <c r="AW571" s="399">
        <v>0</v>
      </c>
      <c r="AX571" s="399">
        <v>0</v>
      </c>
      <c r="AY571" s="399">
        <v>0</v>
      </c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>
        <v>0</v>
      </c>
      <c r="BG571" s="399">
        <v>135.59379263727803</v>
      </c>
      <c r="BH571" s="399">
        <v>0</v>
      </c>
      <c r="BI571" s="399">
        <v>26.19</v>
      </c>
      <c r="BJ571" s="399">
        <v>122.09</v>
      </c>
      <c r="BK571" s="399">
        <v>300.64999999999998</v>
      </c>
      <c r="BL571" s="399">
        <v>32</v>
      </c>
      <c r="BM571" s="399"/>
      <c r="BN571" s="399"/>
      <c r="BO571" s="399"/>
      <c r="BP571" s="399"/>
      <c r="BQ571" s="399"/>
      <c r="BR571" s="399"/>
      <c r="BS571" s="399"/>
      <c r="BT571" s="399">
        <v>1369.6527799999999</v>
      </c>
      <c r="BU571" s="399"/>
      <c r="BV571" s="399">
        <v>1205.8020497695081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2053.741</v>
      </c>
      <c r="CJ571" s="399">
        <v>-641.29251000000068</v>
      </c>
      <c r="CK571" s="399"/>
      <c r="CL571" s="399"/>
      <c r="CM571" s="399"/>
      <c r="CN571" s="399"/>
      <c r="CO571" s="399">
        <v>-1067.4900800000003</v>
      </c>
      <c r="CP571" s="399">
        <v>0</v>
      </c>
      <c r="CQ571" s="399">
        <v>31</v>
      </c>
      <c r="CR571" s="399">
        <v>-4.302746360077208</v>
      </c>
      <c r="CS571" s="399">
        <v>0</v>
      </c>
      <c r="CT571" s="399">
        <v>0</v>
      </c>
      <c r="CU571" s="399">
        <v>0</v>
      </c>
      <c r="CV571" s="399">
        <v>0</v>
      </c>
      <c r="CW571" s="399">
        <v>0</v>
      </c>
      <c r="CX571" s="399">
        <v>0</v>
      </c>
      <c r="CY571" s="399">
        <v>0</v>
      </c>
      <c r="CZ571" s="399">
        <v>-3.8792452649760207</v>
      </c>
      <c r="DA571" s="399">
        <v>0</v>
      </c>
      <c r="DB571" s="399">
        <v>0</v>
      </c>
      <c r="DC571" s="399">
        <v>0</v>
      </c>
      <c r="DD571" s="399">
        <v>0</v>
      </c>
      <c r="DE571" s="399">
        <v>0</v>
      </c>
      <c r="DF571" s="399">
        <v>0</v>
      </c>
      <c r="DG571" s="399">
        <v>0</v>
      </c>
      <c r="DH571" s="399">
        <v>0</v>
      </c>
      <c r="DI571" s="399">
        <v>0</v>
      </c>
      <c r="DJ571" s="399"/>
      <c r="DK571" s="399">
        <v>0</v>
      </c>
      <c r="DL571" s="399">
        <v>0</v>
      </c>
      <c r="DM571" s="399">
        <v>0</v>
      </c>
      <c r="DN571" s="399">
        <v>0</v>
      </c>
      <c r="DO571" s="399">
        <v>0</v>
      </c>
      <c r="DP571" s="399">
        <v>-0.42350109510117484</v>
      </c>
      <c r="DQ571" s="399">
        <v>0</v>
      </c>
      <c r="DR571" s="399">
        <v>0</v>
      </c>
      <c r="DS571" s="399"/>
      <c r="DT571" s="399"/>
      <c r="DU571" s="399"/>
      <c r="DV571" s="399">
        <v>2460.8523694599371</v>
      </c>
      <c r="DW571" s="399">
        <v>0</v>
      </c>
      <c r="DX571" s="399">
        <v>0</v>
      </c>
      <c r="DY571" s="399">
        <v>-1067.49008</v>
      </c>
      <c r="DZ571" s="399">
        <v>0</v>
      </c>
      <c r="EA571" s="399">
        <v>0</v>
      </c>
      <c r="EB571" s="399">
        <v>0</v>
      </c>
      <c r="EC571" s="399">
        <v>-1063.1359250697703</v>
      </c>
      <c r="ED571" s="399">
        <v>0</v>
      </c>
      <c r="EE571" s="399">
        <v>0</v>
      </c>
      <c r="EF571" s="399">
        <v>0</v>
      </c>
      <c r="EG571" s="399">
        <v>0</v>
      </c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>
        <v>0</v>
      </c>
      <c r="EN571" s="399">
        <v>0</v>
      </c>
      <c r="EO571" s="399">
        <v>0</v>
      </c>
      <c r="EP571" s="399">
        <v>0</v>
      </c>
      <c r="EQ571" s="399">
        <v>0</v>
      </c>
      <c r="ER571" s="399">
        <v>0</v>
      </c>
      <c r="ES571" s="399">
        <v>0</v>
      </c>
      <c r="ET571" s="399">
        <v>0</v>
      </c>
      <c r="EU571" s="399">
        <v>0</v>
      </c>
      <c r="EV571" s="399">
        <v>218</v>
      </c>
      <c r="EW571" s="399">
        <v>0</v>
      </c>
      <c r="EX571" s="399">
        <v>0</v>
      </c>
      <c r="EY571" s="399">
        <v>0</v>
      </c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576</v>
      </c>
      <c r="B572" s="399" t="s">
        <v>2361</v>
      </c>
      <c r="C572" s="399" t="s">
        <v>2328</v>
      </c>
      <c r="D572" s="399" t="s">
        <v>1823</v>
      </c>
      <c r="E572" s="399" t="s">
        <v>889</v>
      </c>
      <c r="F572" s="399" t="s">
        <v>2331</v>
      </c>
      <c r="G572" s="399" t="s">
        <v>1239</v>
      </c>
      <c r="H572" s="399" t="s">
        <v>1239</v>
      </c>
      <c r="I572" s="399" t="s">
        <v>1239</v>
      </c>
      <c r="J572" s="399" t="s">
        <v>2329</v>
      </c>
      <c r="K572" s="789">
        <v>44774</v>
      </c>
      <c r="L572" s="399">
        <v>0</v>
      </c>
      <c r="M572" s="399">
        <v>0</v>
      </c>
      <c r="N572" s="399">
        <v>0</v>
      </c>
      <c r="O572" s="399">
        <v>0</v>
      </c>
      <c r="P572" s="399">
        <v>0</v>
      </c>
      <c r="Q572" s="399">
        <v>0</v>
      </c>
      <c r="R572" s="399"/>
      <c r="S572" s="399"/>
      <c r="T572" s="399"/>
      <c r="U572" s="399"/>
      <c r="V572" s="399"/>
      <c r="W572" s="399"/>
      <c r="X572" s="399"/>
      <c r="Y572" s="399"/>
      <c r="Z572" s="399"/>
      <c r="AA572" s="399">
        <v>0</v>
      </c>
      <c r="AB572" s="399"/>
      <c r="AC572" s="399"/>
      <c r="AD572" s="399"/>
      <c r="AE572" s="399"/>
      <c r="AF572" s="399"/>
      <c r="AG572" s="399"/>
      <c r="AH572" s="399"/>
      <c r="AI572" s="399"/>
      <c r="AJ572" s="399"/>
      <c r="AK572" s="399"/>
      <c r="AL572" s="399"/>
      <c r="AM572" s="399"/>
      <c r="AN572" s="399"/>
      <c r="AO572" s="399"/>
      <c r="AP572" s="399"/>
      <c r="AQ572" s="399"/>
      <c r="AR572" s="399"/>
      <c r="AS572" s="399"/>
      <c r="AT572" s="399"/>
      <c r="AU572" s="399"/>
      <c r="AV572" s="399"/>
      <c r="AW572" s="399"/>
      <c r="AX572" s="399"/>
      <c r="AY572" s="399"/>
      <c r="AZ572" s="399">
        <v>0</v>
      </c>
      <c r="BA572" s="399"/>
      <c r="BB572" s="399"/>
      <c r="BC572" s="399"/>
      <c r="BD572" s="399"/>
      <c r="BE572" s="399"/>
      <c r="BF572" s="399"/>
      <c r="BG572" s="399"/>
      <c r="BH572" s="399"/>
      <c r="BI572" s="399">
        <v>0</v>
      </c>
      <c r="BJ572" s="399">
        <v>0</v>
      </c>
      <c r="BK572" s="399">
        <v>1.78</v>
      </c>
      <c r="BL572" s="399">
        <v>0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/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/>
      <c r="CJ572" s="399">
        <v>-0.03</v>
      </c>
      <c r="CK572" s="399"/>
      <c r="CL572" s="399"/>
      <c r="CM572" s="399"/>
      <c r="CN572" s="399"/>
      <c r="CO572" s="399">
        <v>0</v>
      </c>
      <c r="CP572" s="399">
        <v>0</v>
      </c>
      <c r="CQ572" s="399">
        <v>31</v>
      </c>
      <c r="CR572" s="399"/>
      <c r="CS572" s="399"/>
      <c r="CT572" s="399"/>
      <c r="CU572" s="399"/>
      <c r="CV572" s="399"/>
      <c r="CW572" s="399"/>
      <c r="CX572" s="399"/>
      <c r="CY572" s="399"/>
      <c r="CZ572" s="399"/>
      <c r="DA572" s="399"/>
      <c r="DB572" s="399"/>
      <c r="DC572" s="399"/>
      <c r="DD572" s="399"/>
      <c r="DE572" s="399"/>
      <c r="DF572" s="399"/>
      <c r="DG572" s="399"/>
      <c r="DH572" s="399"/>
      <c r="DI572" s="399"/>
      <c r="DJ572" s="399"/>
      <c r="DK572" s="399">
        <v>0</v>
      </c>
      <c r="DL572" s="399"/>
      <c r="DM572" s="399"/>
      <c r="DN572" s="399"/>
      <c r="DO572" s="399"/>
      <c r="DP572" s="399"/>
      <c r="DQ572" s="399"/>
      <c r="DR572" s="399"/>
      <c r="DS572" s="399"/>
      <c r="DT572" s="399"/>
      <c r="DU572" s="399"/>
      <c r="DV572" s="399"/>
      <c r="DW572" s="399"/>
      <c r="DX572" s="399"/>
      <c r="DY572" s="399"/>
      <c r="DZ572" s="399"/>
      <c r="EA572" s="399"/>
      <c r="EB572" s="399"/>
      <c r="EC572" s="399"/>
      <c r="ED572" s="399"/>
      <c r="EE572" s="399"/>
      <c r="EF572" s="399"/>
      <c r="EG572" s="399"/>
      <c r="EH572" s="399"/>
      <c r="EI572" s="399"/>
      <c r="EJ572" s="399"/>
      <c r="EK572" s="399"/>
      <c r="EL572" s="399"/>
      <c r="EM572" s="399"/>
      <c r="EN572" s="399"/>
      <c r="EO572" s="399"/>
      <c r="EP572" s="399"/>
      <c r="EQ572" s="399"/>
      <c r="ER572" s="399"/>
      <c r="ES572" s="399"/>
      <c r="ET572" s="399"/>
      <c r="EU572" s="399"/>
      <c r="EV572" s="399">
        <v>218</v>
      </c>
      <c r="EW572" s="399"/>
      <c r="EX572" s="399"/>
      <c r="EY572" s="399"/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577</v>
      </c>
      <c r="B573" s="399" t="s">
        <v>956</v>
      </c>
      <c r="C573" s="399" t="s">
        <v>2328</v>
      </c>
      <c r="D573" s="399" t="s">
        <v>1823</v>
      </c>
      <c r="E573" s="399" t="s">
        <v>889</v>
      </c>
      <c r="F573" s="399" t="s">
        <v>2332</v>
      </c>
      <c r="G573" s="399" t="s">
        <v>1239</v>
      </c>
      <c r="H573" s="399" t="s">
        <v>1239</v>
      </c>
      <c r="I573" s="399" t="s">
        <v>1239</v>
      </c>
      <c r="J573" s="399" t="s">
        <v>2329</v>
      </c>
      <c r="K573" s="789">
        <v>44774</v>
      </c>
      <c r="L573" s="399">
        <v>0</v>
      </c>
      <c r="M573" s="399">
        <v>0</v>
      </c>
      <c r="N573" s="399">
        <v>7.2489999999999997</v>
      </c>
      <c r="O573" s="399">
        <v>7.2489999999999997</v>
      </c>
      <c r="P573" s="399">
        <v>7.2489999999999997</v>
      </c>
      <c r="Q573" s="399">
        <v>7.2489999999999997</v>
      </c>
      <c r="R573" s="399"/>
      <c r="S573" s="399">
        <v>451.8</v>
      </c>
      <c r="T573" s="399">
        <v>141.32</v>
      </c>
      <c r="U573" s="399"/>
      <c r="V573" s="399">
        <v>4299.5268799999994</v>
      </c>
      <c r="W573" s="399">
        <v>4299.5268799999994</v>
      </c>
      <c r="X573" s="399">
        <v>3277.7078399999996</v>
      </c>
      <c r="Y573" s="399">
        <v>0</v>
      </c>
      <c r="Z573" s="399">
        <v>0</v>
      </c>
      <c r="AA573" s="399">
        <v>0</v>
      </c>
      <c r="AB573" s="399">
        <v>0</v>
      </c>
      <c r="AC573" s="399">
        <v>0</v>
      </c>
      <c r="AD573" s="399">
        <v>779.65751231636818</v>
      </c>
      <c r="AE573" s="399">
        <v>2355.568311925932</v>
      </c>
      <c r="AF573" s="399">
        <v>1024.4209238018666</v>
      </c>
      <c r="AG573" s="399">
        <v>0</v>
      </c>
      <c r="AH573" s="399">
        <v>0</v>
      </c>
      <c r="AI573" s="399">
        <v>0</v>
      </c>
      <c r="AJ573" s="399">
        <v>0</v>
      </c>
      <c r="AK573" s="399">
        <v>0</v>
      </c>
      <c r="AL573" s="399">
        <v>0</v>
      </c>
      <c r="AM573" s="399"/>
      <c r="AN573" s="399">
        <v>10.05339658851571</v>
      </c>
      <c r="AO573" s="399">
        <v>0</v>
      </c>
      <c r="AP573" s="399">
        <v>0</v>
      </c>
      <c r="AQ573" s="399">
        <v>0</v>
      </c>
      <c r="AR573" s="399">
        <v>0</v>
      </c>
      <c r="AS573" s="399">
        <v>0</v>
      </c>
      <c r="AT573" s="399">
        <v>0</v>
      </c>
      <c r="AU573" s="399">
        <v>0</v>
      </c>
      <c r="AV573" s="399">
        <v>0</v>
      </c>
      <c r="AW573" s="399">
        <v>0</v>
      </c>
      <c r="AX573" s="399">
        <v>0</v>
      </c>
      <c r="AY573" s="399">
        <v>0</v>
      </c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>
        <v>0</v>
      </c>
      <c r="BG573" s="399">
        <v>129.79260568171506</v>
      </c>
      <c r="BH573" s="399">
        <v>0</v>
      </c>
      <c r="BI573" s="399">
        <v>25.46</v>
      </c>
      <c r="BJ573" s="399">
        <v>117.21</v>
      </c>
      <c r="BK573" s="399">
        <v>518.51</v>
      </c>
      <c r="BL573" s="399">
        <v>59</v>
      </c>
      <c r="BM573" s="399"/>
      <c r="BN573" s="399"/>
      <c r="BO573" s="399"/>
      <c r="BP573" s="399"/>
      <c r="BQ573" s="399"/>
      <c r="BR573" s="399"/>
      <c r="BS573" s="399"/>
      <c r="BT573" s="399">
        <v>327.72728999999981</v>
      </c>
      <c r="BU573" s="399"/>
      <c r="BV573" s="399">
        <v>1154.2135294835816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2950.3874999999998</v>
      </c>
      <c r="CJ573" s="399">
        <v>-919.23119000000042</v>
      </c>
      <c r="CK573" s="399"/>
      <c r="CL573" s="399"/>
      <c r="CM573" s="399"/>
      <c r="CN573" s="399"/>
      <c r="CO573" s="399">
        <v>-1021.8190400000002</v>
      </c>
      <c r="CP573" s="399">
        <v>0</v>
      </c>
      <c r="CQ573" s="399">
        <v>31</v>
      </c>
      <c r="CR573" s="399">
        <v>-4.1186594961309311</v>
      </c>
      <c r="CS573" s="399">
        <v>0</v>
      </c>
      <c r="CT573" s="399">
        <v>0</v>
      </c>
      <c r="CU573" s="399">
        <v>0</v>
      </c>
      <c r="CV573" s="399">
        <v>0</v>
      </c>
      <c r="CW573" s="399">
        <v>0</v>
      </c>
      <c r="CX573" s="399">
        <v>0</v>
      </c>
      <c r="CY573" s="399">
        <v>0</v>
      </c>
      <c r="CZ573" s="399">
        <v>-3.7132772911411394</v>
      </c>
      <c r="DA573" s="399">
        <v>0</v>
      </c>
      <c r="DB573" s="399">
        <v>0</v>
      </c>
      <c r="DC573" s="399">
        <v>0</v>
      </c>
      <c r="DD573" s="399">
        <v>0</v>
      </c>
      <c r="DE573" s="399">
        <v>0</v>
      </c>
      <c r="DF573" s="399">
        <v>0</v>
      </c>
      <c r="DG573" s="399">
        <v>0</v>
      </c>
      <c r="DH573" s="399">
        <v>0</v>
      </c>
      <c r="DI573" s="399">
        <v>0</v>
      </c>
      <c r="DJ573" s="399"/>
      <c r="DK573" s="399">
        <v>0</v>
      </c>
      <c r="DL573" s="399">
        <v>0</v>
      </c>
      <c r="DM573" s="399">
        <v>0</v>
      </c>
      <c r="DN573" s="399">
        <v>0</v>
      </c>
      <c r="DO573" s="399">
        <v>0</v>
      </c>
      <c r="DP573" s="399">
        <v>-0.40538220498988586</v>
      </c>
      <c r="DQ573" s="399">
        <v>0</v>
      </c>
      <c r="DR573" s="399">
        <v>0</v>
      </c>
      <c r="DS573" s="399"/>
      <c r="DT573" s="399"/>
      <c r="DU573" s="399"/>
      <c r="DV573" s="399">
        <v>2355.568311925932</v>
      </c>
      <c r="DW573" s="399">
        <v>0</v>
      </c>
      <c r="DX573" s="399">
        <v>0</v>
      </c>
      <c r="DY573" s="399">
        <v>-1021.8190400000003</v>
      </c>
      <c r="DZ573" s="399">
        <v>0</v>
      </c>
      <c r="EA573" s="399">
        <v>0</v>
      </c>
      <c r="EB573" s="399">
        <v>0</v>
      </c>
      <c r="EC573" s="399">
        <v>-1017.6511713760419</v>
      </c>
      <c r="ED573" s="399">
        <v>0</v>
      </c>
      <c r="EE573" s="399">
        <v>0</v>
      </c>
      <c r="EF573" s="399">
        <v>0</v>
      </c>
      <c r="EG573" s="399">
        <v>0</v>
      </c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>
        <v>0</v>
      </c>
      <c r="EN573" s="399">
        <v>0</v>
      </c>
      <c r="EO573" s="399">
        <v>0</v>
      </c>
      <c r="EP573" s="399">
        <v>0</v>
      </c>
      <c r="EQ573" s="399">
        <v>0</v>
      </c>
      <c r="ER573" s="399">
        <v>0</v>
      </c>
      <c r="ES573" s="399">
        <v>0</v>
      </c>
      <c r="ET573" s="399">
        <v>0</v>
      </c>
      <c r="EU573" s="399">
        <v>0</v>
      </c>
      <c r="EV573" s="399">
        <v>218</v>
      </c>
      <c r="EW573" s="399">
        <v>0</v>
      </c>
      <c r="EX573" s="399">
        <v>0</v>
      </c>
      <c r="EY573" s="399">
        <v>0</v>
      </c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578</v>
      </c>
      <c r="B574" s="399" t="s">
        <v>2361</v>
      </c>
      <c r="C574" s="399" t="s">
        <v>2328</v>
      </c>
      <c r="D574" s="399" t="s">
        <v>1823</v>
      </c>
      <c r="E574" s="399" t="s">
        <v>889</v>
      </c>
      <c r="F574" s="399" t="s">
        <v>2332</v>
      </c>
      <c r="G574" s="399" t="s">
        <v>1239</v>
      </c>
      <c r="H574" s="399" t="s">
        <v>1239</v>
      </c>
      <c r="I574" s="399" t="s">
        <v>1239</v>
      </c>
      <c r="J574" s="399" t="s">
        <v>2329</v>
      </c>
      <c r="K574" s="789">
        <v>44774</v>
      </c>
      <c r="L574" s="399">
        <v>0</v>
      </c>
      <c r="M574" s="399">
        <v>0</v>
      </c>
      <c r="N574" s="399">
        <v>0</v>
      </c>
      <c r="O574" s="399">
        <v>0</v>
      </c>
      <c r="P574" s="399">
        <v>0</v>
      </c>
      <c r="Q574" s="399">
        <v>0</v>
      </c>
      <c r="R574" s="399"/>
      <c r="S574" s="399"/>
      <c r="T574" s="399"/>
      <c r="U574" s="399"/>
      <c r="V574" s="399"/>
      <c r="W574" s="399"/>
      <c r="X574" s="399"/>
      <c r="Y574" s="399"/>
      <c r="Z574" s="399"/>
      <c r="AA574" s="399">
        <v>0</v>
      </c>
      <c r="AB574" s="399"/>
      <c r="AC574" s="399"/>
      <c r="AD574" s="399"/>
      <c r="AE574" s="399"/>
      <c r="AF574" s="399"/>
      <c r="AG574" s="399"/>
      <c r="AH574" s="399"/>
      <c r="AI574" s="399"/>
      <c r="AJ574" s="399"/>
      <c r="AK574" s="399"/>
      <c r="AL574" s="399"/>
      <c r="AM574" s="399"/>
      <c r="AN574" s="399"/>
      <c r="AO574" s="399"/>
      <c r="AP574" s="399"/>
      <c r="AQ574" s="399"/>
      <c r="AR574" s="399"/>
      <c r="AS574" s="399"/>
      <c r="AT574" s="399"/>
      <c r="AU574" s="399"/>
      <c r="AV574" s="399"/>
      <c r="AW574" s="399"/>
      <c r="AX574" s="399"/>
      <c r="AY574" s="399"/>
      <c r="AZ574" s="399">
        <v>0</v>
      </c>
      <c r="BA574" s="399"/>
      <c r="BB574" s="399"/>
      <c r="BC574" s="399"/>
      <c r="BD574" s="399"/>
      <c r="BE574" s="399"/>
      <c r="BF574" s="399"/>
      <c r="BG574" s="399"/>
      <c r="BH574" s="399"/>
      <c r="BI574" s="399">
        <v>0</v>
      </c>
      <c r="BJ574" s="399">
        <v>0</v>
      </c>
      <c r="BK574" s="399">
        <v>1.8</v>
      </c>
      <c r="BL574" s="399">
        <v>1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/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/>
      <c r="CJ574" s="399">
        <v>-0.03</v>
      </c>
      <c r="CK574" s="399"/>
      <c r="CL574" s="399"/>
      <c r="CM574" s="399"/>
      <c r="CN574" s="399"/>
      <c r="CO574" s="399">
        <v>0</v>
      </c>
      <c r="CP574" s="399">
        <v>0</v>
      </c>
      <c r="CQ574" s="399">
        <v>31</v>
      </c>
      <c r="CR574" s="399"/>
      <c r="CS574" s="399"/>
      <c r="CT574" s="399"/>
      <c r="CU574" s="399"/>
      <c r="CV574" s="399"/>
      <c r="CW574" s="399"/>
      <c r="CX574" s="399"/>
      <c r="CY574" s="399"/>
      <c r="CZ574" s="399"/>
      <c r="DA574" s="399"/>
      <c r="DB574" s="399"/>
      <c r="DC574" s="399"/>
      <c r="DD574" s="399"/>
      <c r="DE574" s="399"/>
      <c r="DF574" s="399"/>
      <c r="DG574" s="399"/>
      <c r="DH574" s="399"/>
      <c r="DI574" s="399"/>
      <c r="DJ574" s="399"/>
      <c r="DK574" s="399">
        <v>0</v>
      </c>
      <c r="DL574" s="399"/>
      <c r="DM574" s="399"/>
      <c r="DN574" s="399"/>
      <c r="DO574" s="399"/>
      <c r="DP574" s="399"/>
      <c r="DQ574" s="399"/>
      <c r="DR574" s="399"/>
      <c r="DS574" s="399"/>
      <c r="DT574" s="399"/>
      <c r="DU574" s="399"/>
      <c r="DV574" s="399"/>
      <c r="DW574" s="399"/>
      <c r="DX574" s="399"/>
      <c r="DY574" s="399"/>
      <c r="DZ574" s="399"/>
      <c r="EA574" s="399"/>
      <c r="EB574" s="399"/>
      <c r="EC574" s="399"/>
      <c r="ED574" s="399"/>
      <c r="EE574" s="399"/>
      <c r="EF574" s="399"/>
      <c r="EG574" s="399"/>
      <c r="EH574" s="399"/>
      <c r="EI574" s="399"/>
      <c r="EJ574" s="399"/>
      <c r="EK574" s="399"/>
      <c r="EL574" s="399"/>
      <c r="EM574" s="399"/>
      <c r="EN574" s="399"/>
      <c r="EO574" s="399"/>
      <c r="EP574" s="399"/>
      <c r="EQ574" s="399"/>
      <c r="ER574" s="399"/>
      <c r="ES574" s="399"/>
      <c r="ET574" s="399"/>
      <c r="EU574" s="399"/>
      <c r="EV574" s="399">
        <v>218</v>
      </c>
      <c r="EW574" s="399"/>
      <c r="EX574" s="399"/>
      <c r="EY574" s="399"/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579</v>
      </c>
      <c r="B575" s="399" t="s">
        <v>956</v>
      </c>
      <c r="C575" s="399" t="s">
        <v>2328</v>
      </c>
      <c r="D575" s="399" t="s">
        <v>1823</v>
      </c>
      <c r="E575" s="399" t="s">
        <v>889</v>
      </c>
      <c r="F575" s="399" t="s">
        <v>2333</v>
      </c>
      <c r="G575" s="399" t="s">
        <v>1239</v>
      </c>
      <c r="H575" s="399" t="s">
        <v>1239</v>
      </c>
      <c r="I575" s="399" t="s">
        <v>1239</v>
      </c>
      <c r="J575" s="399" t="s">
        <v>2329</v>
      </c>
      <c r="K575" s="789">
        <v>44774</v>
      </c>
      <c r="L575" s="399">
        <v>0</v>
      </c>
      <c r="M575" s="399">
        <v>0</v>
      </c>
      <c r="N575" s="399">
        <v>2.6739999999999999</v>
      </c>
      <c r="O575" s="399">
        <v>2.6739999999999999</v>
      </c>
      <c r="P575" s="399">
        <v>2.6739999999999999</v>
      </c>
      <c r="Q575" s="399">
        <v>2.6739999999999999</v>
      </c>
      <c r="R575" s="399"/>
      <c r="S575" s="399">
        <v>451.8</v>
      </c>
      <c r="T575" s="399">
        <v>141.32</v>
      </c>
      <c r="U575" s="399"/>
      <c r="V575" s="399">
        <v>1586.00288</v>
      </c>
      <c r="W575" s="399">
        <v>1586.00288</v>
      </c>
      <c r="X575" s="399">
        <v>1209.07584</v>
      </c>
      <c r="Y575" s="399">
        <v>0</v>
      </c>
      <c r="Z575" s="399">
        <v>0</v>
      </c>
      <c r="AA575" s="399">
        <v>0</v>
      </c>
      <c r="AB575" s="399">
        <v>0</v>
      </c>
      <c r="AC575" s="399">
        <v>0</v>
      </c>
      <c r="AD575" s="399">
        <v>287.59886714498117</v>
      </c>
      <c r="AE575" s="399">
        <v>868.91842545039901</v>
      </c>
      <c r="AF575" s="399">
        <v>377.88681890553062</v>
      </c>
      <c r="AG575" s="399">
        <v>0</v>
      </c>
      <c r="AH575" s="399">
        <v>0</v>
      </c>
      <c r="AI575" s="399">
        <v>0</v>
      </c>
      <c r="AJ575" s="399">
        <v>0</v>
      </c>
      <c r="AK575" s="399">
        <v>0</v>
      </c>
      <c r="AL575" s="399">
        <v>0</v>
      </c>
      <c r="AM575" s="399"/>
      <c r="AN575" s="399">
        <v>3.7084815116141554</v>
      </c>
      <c r="AO575" s="399">
        <v>0</v>
      </c>
      <c r="AP575" s="399">
        <v>0</v>
      </c>
      <c r="AQ575" s="399">
        <v>0</v>
      </c>
      <c r="AR575" s="399">
        <v>0</v>
      </c>
      <c r="AS575" s="399">
        <v>0</v>
      </c>
      <c r="AT575" s="399">
        <v>0</v>
      </c>
      <c r="AU575" s="399">
        <v>0</v>
      </c>
      <c r="AV575" s="399">
        <v>0</v>
      </c>
      <c r="AW575" s="399">
        <v>0</v>
      </c>
      <c r="AX575" s="399">
        <v>0</v>
      </c>
      <c r="AY575" s="399">
        <v>0</v>
      </c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>
        <v>0</v>
      </c>
      <c r="BG575" s="399">
        <v>47.877697281405176</v>
      </c>
      <c r="BH575" s="399">
        <v>0</v>
      </c>
      <c r="BI575" s="399">
        <v>9.4499999999999993</v>
      </c>
      <c r="BJ575" s="399">
        <v>43.08</v>
      </c>
      <c r="BK575" s="399">
        <v>258.32</v>
      </c>
      <c r="BL575" s="399">
        <v>31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>
        <v>425.76451618693579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1207.2671999999998</v>
      </c>
      <c r="CJ575" s="399">
        <v>-378.7656800000002</v>
      </c>
      <c r="CK575" s="399"/>
      <c r="CL575" s="399"/>
      <c r="CM575" s="399"/>
      <c r="CN575" s="399"/>
      <c r="CO575" s="399">
        <v>-376.92704000000009</v>
      </c>
      <c r="CP575" s="399">
        <v>0</v>
      </c>
      <c r="CQ575" s="399">
        <v>31</v>
      </c>
      <c r="CR575" s="399">
        <v>-1.5192847968897922</v>
      </c>
      <c r="CS575" s="399">
        <v>0</v>
      </c>
      <c r="CT575" s="399">
        <v>0</v>
      </c>
      <c r="CU575" s="399">
        <v>0</v>
      </c>
      <c r="CV575" s="399">
        <v>0</v>
      </c>
      <c r="CW575" s="399">
        <v>0</v>
      </c>
      <c r="CX575" s="399">
        <v>0</v>
      </c>
      <c r="CY575" s="399">
        <v>0</v>
      </c>
      <c r="CZ575" s="399">
        <v>-1.3697480309713228</v>
      </c>
      <c r="DA575" s="399">
        <v>0</v>
      </c>
      <c r="DB575" s="399">
        <v>0</v>
      </c>
      <c r="DC575" s="399">
        <v>0</v>
      </c>
      <c r="DD575" s="399">
        <v>0</v>
      </c>
      <c r="DE575" s="399">
        <v>0</v>
      </c>
      <c r="DF575" s="399">
        <v>0</v>
      </c>
      <c r="DG575" s="399">
        <v>0</v>
      </c>
      <c r="DH575" s="399">
        <v>0</v>
      </c>
      <c r="DI575" s="399">
        <v>0</v>
      </c>
      <c r="DJ575" s="399"/>
      <c r="DK575" s="399">
        <v>0</v>
      </c>
      <c r="DL575" s="399">
        <v>0</v>
      </c>
      <c r="DM575" s="399">
        <v>0</v>
      </c>
      <c r="DN575" s="399">
        <v>0</v>
      </c>
      <c r="DO575" s="399">
        <v>0</v>
      </c>
      <c r="DP575" s="399">
        <v>-0.14953676591846587</v>
      </c>
      <c r="DQ575" s="399">
        <v>0</v>
      </c>
      <c r="DR575" s="399">
        <v>0</v>
      </c>
      <c r="DS575" s="399"/>
      <c r="DT575" s="399"/>
      <c r="DU575" s="399"/>
      <c r="DV575" s="399">
        <v>868.91842545039901</v>
      </c>
      <c r="DW575" s="399">
        <v>0</v>
      </c>
      <c r="DX575" s="399">
        <v>0</v>
      </c>
      <c r="DY575" s="399">
        <v>-376.92704000000015</v>
      </c>
      <c r="DZ575" s="399">
        <v>0</v>
      </c>
      <c r="EA575" s="399">
        <v>0</v>
      </c>
      <c r="EB575" s="399">
        <v>0</v>
      </c>
      <c r="EC575" s="399">
        <v>-375.38960301552441</v>
      </c>
      <c r="ED575" s="399">
        <v>0</v>
      </c>
      <c r="EE575" s="399">
        <v>0</v>
      </c>
      <c r="EF575" s="399">
        <v>0</v>
      </c>
      <c r="EG575" s="399">
        <v>0</v>
      </c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>
        <v>0</v>
      </c>
      <c r="EN575" s="399">
        <v>0</v>
      </c>
      <c r="EO575" s="399">
        <v>0</v>
      </c>
      <c r="EP575" s="399">
        <v>0</v>
      </c>
      <c r="EQ575" s="399">
        <v>0</v>
      </c>
      <c r="ER575" s="399">
        <v>0</v>
      </c>
      <c r="ES575" s="399">
        <v>0</v>
      </c>
      <c r="ET575" s="399">
        <v>0</v>
      </c>
      <c r="EU575" s="399">
        <v>0</v>
      </c>
      <c r="EV575" s="399">
        <v>218</v>
      </c>
      <c r="EW575" s="399">
        <v>0</v>
      </c>
      <c r="EX575" s="399">
        <v>0</v>
      </c>
      <c r="EY575" s="399">
        <v>0</v>
      </c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580</v>
      </c>
      <c r="B576" s="399" t="s">
        <v>956</v>
      </c>
      <c r="C576" s="399" t="s">
        <v>2328</v>
      </c>
      <c r="D576" s="399" t="s">
        <v>1826</v>
      </c>
      <c r="E576" s="399" t="s">
        <v>890</v>
      </c>
      <c r="F576" s="399" t="s">
        <v>1239</v>
      </c>
      <c r="G576" s="399" t="s">
        <v>1239</v>
      </c>
      <c r="H576" s="399" t="s">
        <v>1239</v>
      </c>
      <c r="I576" s="399" t="s">
        <v>1239</v>
      </c>
      <c r="J576" s="399" t="s">
        <v>2329</v>
      </c>
      <c r="K576" s="789">
        <v>44774</v>
      </c>
      <c r="L576" s="399">
        <v>0</v>
      </c>
      <c r="M576" s="399">
        <v>0</v>
      </c>
      <c r="N576" s="399">
        <v>160.126</v>
      </c>
      <c r="O576" s="399">
        <v>160.126</v>
      </c>
      <c r="P576" s="399">
        <v>160.126</v>
      </c>
      <c r="Q576" s="399">
        <v>160.126</v>
      </c>
      <c r="R576" s="399"/>
      <c r="S576" s="399">
        <v>521.86</v>
      </c>
      <c r="T576" s="399">
        <v>141.32</v>
      </c>
      <c r="U576" s="399"/>
      <c r="V576" s="399">
        <v>106192.36068</v>
      </c>
      <c r="W576" s="399">
        <v>106192.36068</v>
      </c>
      <c r="X576" s="399">
        <v>82998.109580000004</v>
      </c>
      <c r="Y576" s="399">
        <v>0</v>
      </c>
      <c r="Z576" s="399">
        <v>9715.9721063180077</v>
      </c>
      <c r="AA576" s="399">
        <v>0</v>
      </c>
      <c r="AB576" s="399">
        <v>0</v>
      </c>
      <c r="AC576" s="399">
        <v>0</v>
      </c>
      <c r="AD576" s="399">
        <v>17222.160134800772</v>
      </c>
      <c r="AE576" s="399">
        <v>52033.070977438518</v>
      </c>
      <c r="AF576" s="399">
        <v>22628.834990301792</v>
      </c>
      <c r="AG576" s="399">
        <v>0</v>
      </c>
      <c r="AH576" s="399">
        <v>0</v>
      </c>
      <c r="AI576" s="399">
        <v>0</v>
      </c>
      <c r="AJ576" s="399">
        <v>0</v>
      </c>
      <c r="AK576" s="399">
        <v>0</v>
      </c>
      <c r="AL576" s="399">
        <v>1502.3009068715355</v>
      </c>
      <c r="AM576" s="399"/>
      <c r="AN576" s="399">
        <v>222.07341455823794</v>
      </c>
      <c r="AO576" s="399">
        <v>0</v>
      </c>
      <c r="AP576" s="399">
        <v>0</v>
      </c>
      <c r="AQ576" s="399">
        <v>0</v>
      </c>
      <c r="AR576" s="399">
        <v>0</v>
      </c>
      <c r="AS576" s="399">
        <v>0</v>
      </c>
      <c r="AT576" s="399">
        <v>0</v>
      </c>
      <c r="AU576" s="399">
        <v>0</v>
      </c>
      <c r="AV576" s="399">
        <v>0</v>
      </c>
      <c r="AW576" s="399">
        <v>0</v>
      </c>
      <c r="AX576" s="399">
        <v>0</v>
      </c>
      <c r="AY576" s="399">
        <v>0</v>
      </c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>
        <v>0</v>
      </c>
      <c r="BG576" s="399">
        <v>2867.0396989088576</v>
      </c>
      <c r="BH576" s="399">
        <v>0</v>
      </c>
      <c r="BI576" s="399">
        <v>559.92999999999995</v>
      </c>
      <c r="BJ576" s="399">
        <v>2584.1799999999998</v>
      </c>
      <c r="BK576" s="399">
        <v>17617.28</v>
      </c>
      <c r="BL576" s="399">
        <v>137</v>
      </c>
      <c r="BM576" s="399"/>
      <c r="BN576" s="399"/>
      <c r="BO576" s="399"/>
      <c r="BP576" s="399"/>
      <c r="BQ576" s="399"/>
      <c r="BR576" s="399"/>
      <c r="BS576" s="399"/>
      <c r="BT576" s="399"/>
      <c r="BU576" s="399"/>
      <c r="BV576" s="399">
        <v>25495.87468921065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83000.1829</v>
      </c>
      <c r="CJ576" s="399">
        <v>-23192.207779999982</v>
      </c>
      <c r="CK576" s="399"/>
      <c r="CL576" s="399"/>
      <c r="CM576" s="399"/>
      <c r="CN576" s="399"/>
      <c r="CO576" s="399">
        <v>-23194.251100000005</v>
      </c>
      <c r="CP576" s="399">
        <v>0</v>
      </c>
      <c r="CQ576" s="399">
        <v>31</v>
      </c>
      <c r="CR576" s="399">
        <v>-713.47940038904926</v>
      </c>
      <c r="CS576" s="399">
        <v>0</v>
      </c>
      <c r="CT576" s="399">
        <v>0</v>
      </c>
      <c r="CU576" s="399">
        <v>0</v>
      </c>
      <c r="CV576" s="399">
        <v>0</v>
      </c>
      <c r="CW576" s="399">
        <v>0</v>
      </c>
      <c r="CX576" s="399">
        <v>0</v>
      </c>
      <c r="CY576" s="399">
        <v>0</v>
      </c>
      <c r="CZ576" s="399">
        <v>-82.02403635277733</v>
      </c>
      <c r="DA576" s="399">
        <v>0</v>
      </c>
      <c r="DB576" s="399">
        <v>0</v>
      </c>
      <c r="DC576" s="399">
        <v>0</v>
      </c>
      <c r="DD576" s="399">
        <v>0</v>
      </c>
      <c r="DE576" s="399">
        <v>0</v>
      </c>
      <c r="DF576" s="399">
        <v>0</v>
      </c>
      <c r="DG576" s="399">
        <v>0</v>
      </c>
      <c r="DH576" s="399">
        <v>0</v>
      </c>
      <c r="DI576" s="399">
        <v>-547.43344192837321</v>
      </c>
      <c r="DJ576" s="399"/>
      <c r="DK576" s="399">
        <v>0</v>
      </c>
      <c r="DL576" s="399">
        <v>0</v>
      </c>
      <c r="DM576" s="399">
        <v>0</v>
      </c>
      <c r="DN576" s="399">
        <v>0</v>
      </c>
      <c r="DO576" s="399">
        <v>-75.067275817895279</v>
      </c>
      <c r="DP576" s="399">
        <v>-8.9546462900000847</v>
      </c>
      <c r="DQ576" s="399">
        <v>0</v>
      </c>
      <c r="DR576" s="399">
        <v>0</v>
      </c>
      <c r="DS576" s="399"/>
      <c r="DT576" s="399"/>
      <c r="DU576" s="399"/>
      <c r="DV576" s="399">
        <v>52033.070977438518</v>
      </c>
      <c r="DW576" s="399">
        <v>0</v>
      </c>
      <c r="DX576" s="399">
        <v>0</v>
      </c>
      <c r="DY576" s="399">
        <v>-23194.251099999994</v>
      </c>
      <c r="DZ576" s="399">
        <v>0</v>
      </c>
      <c r="EA576" s="399">
        <v>0</v>
      </c>
      <c r="EB576" s="399">
        <v>0</v>
      </c>
      <c r="EC576" s="399">
        <v>-22479.295277660382</v>
      </c>
      <c r="ED576" s="399">
        <v>0</v>
      </c>
      <c r="EE576" s="399">
        <v>0</v>
      </c>
      <c r="EF576" s="399">
        <v>0</v>
      </c>
      <c r="EG576" s="399">
        <v>0</v>
      </c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>
        <v>0</v>
      </c>
      <c r="EN576" s="399">
        <v>0</v>
      </c>
      <c r="EO576" s="399">
        <v>0</v>
      </c>
      <c r="EP576" s="399">
        <v>0</v>
      </c>
      <c r="EQ576" s="399">
        <v>0</v>
      </c>
      <c r="ER576" s="399">
        <v>0</v>
      </c>
      <c r="ES576" s="399">
        <v>0</v>
      </c>
      <c r="ET576" s="399">
        <v>0</v>
      </c>
      <c r="EU576" s="399">
        <v>0</v>
      </c>
      <c r="EV576" s="399">
        <v>218</v>
      </c>
      <c r="EW576" s="399">
        <v>0</v>
      </c>
      <c r="EX576" s="399">
        <v>0</v>
      </c>
      <c r="EY576" s="399">
        <v>0</v>
      </c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581</v>
      </c>
      <c r="B577" s="399" t="s">
        <v>2361</v>
      </c>
      <c r="C577" s="399" t="s">
        <v>2328</v>
      </c>
      <c r="D577" s="399" t="s">
        <v>1826</v>
      </c>
      <c r="E577" s="399" t="s">
        <v>890</v>
      </c>
      <c r="F577" s="399" t="s">
        <v>1239</v>
      </c>
      <c r="G577" s="399" t="s">
        <v>1239</v>
      </c>
      <c r="H577" s="399" t="s">
        <v>1239</v>
      </c>
      <c r="I577" s="399" t="s">
        <v>1239</v>
      </c>
      <c r="J577" s="399" t="s">
        <v>2329</v>
      </c>
      <c r="K577" s="789">
        <v>44774</v>
      </c>
      <c r="L577" s="399">
        <v>0</v>
      </c>
      <c r="M577" s="399">
        <v>0</v>
      </c>
      <c r="N577" s="399">
        <v>12.842000000000001</v>
      </c>
      <c r="O577" s="399">
        <v>12.842000000000001</v>
      </c>
      <c r="P577" s="399">
        <v>12.842000000000001</v>
      </c>
      <c r="Q577" s="399">
        <v>12.842000000000001</v>
      </c>
      <c r="R577" s="399"/>
      <c r="S577" s="399">
        <v>521.86</v>
      </c>
      <c r="T577" s="399">
        <v>141.32</v>
      </c>
      <c r="U577" s="399"/>
      <c r="V577" s="399">
        <v>8516.5575600000011</v>
      </c>
      <c r="W577" s="399">
        <v>8516.5575600000011</v>
      </c>
      <c r="X577" s="399">
        <v>6656.3938600000001</v>
      </c>
      <c r="Y577" s="399">
        <v>0</v>
      </c>
      <c r="Z577" s="399">
        <v>779.21457970183394</v>
      </c>
      <c r="AA577" s="399">
        <v>0</v>
      </c>
      <c r="AB577" s="399">
        <v>0</v>
      </c>
      <c r="AC577" s="399">
        <v>0</v>
      </c>
      <c r="AD577" s="399">
        <v>1381.2059281510278</v>
      </c>
      <c r="AE577" s="399">
        <v>4173.0181075669498</v>
      </c>
      <c r="AF577" s="399">
        <v>1814.8176994707644</v>
      </c>
      <c r="AG577" s="399">
        <v>0</v>
      </c>
      <c r="AH577" s="399">
        <v>0</v>
      </c>
      <c r="AI577" s="399">
        <v>0</v>
      </c>
      <c r="AJ577" s="399">
        <v>0</v>
      </c>
      <c r="AK577" s="399">
        <v>0</v>
      </c>
      <c r="AL577" s="399">
        <v>120.48354574550203</v>
      </c>
      <c r="AM577" s="399"/>
      <c r="AN577" s="399">
        <v>17.810141949195582</v>
      </c>
      <c r="AO577" s="399">
        <v>0</v>
      </c>
      <c r="AP577" s="399">
        <v>0</v>
      </c>
      <c r="AQ577" s="399">
        <v>0</v>
      </c>
      <c r="AR577" s="399">
        <v>0</v>
      </c>
      <c r="AS577" s="399">
        <v>0</v>
      </c>
      <c r="AT577" s="399">
        <v>0</v>
      </c>
      <c r="AU577" s="399">
        <v>0</v>
      </c>
      <c r="AV577" s="399">
        <v>0</v>
      </c>
      <c r="AW577" s="399">
        <v>0</v>
      </c>
      <c r="AX577" s="399">
        <v>0</v>
      </c>
      <c r="AY577" s="399">
        <v>0</v>
      </c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>
        <v>0</v>
      </c>
      <c r="BG577" s="399">
        <v>229.93470025721962</v>
      </c>
      <c r="BH577" s="399">
        <v>0</v>
      </c>
      <c r="BI577" s="399">
        <v>44.9</v>
      </c>
      <c r="BJ577" s="399">
        <v>207.23</v>
      </c>
      <c r="BK577" s="399">
        <v>4369.3500000000004</v>
      </c>
      <c r="BL577" s="399">
        <v>14</v>
      </c>
      <c r="BM577" s="399"/>
      <c r="BN577" s="399"/>
      <c r="BO577" s="399"/>
      <c r="BP577" s="399"/>
      <c r="BQ577" s="399"/>
      <c r="BR577" s="399"/>
      <c r="BS577" s="399"/>
      <c r="BT577" s="399"/>
      <c r="BU577" s="399"/>
      <c r="BV577" s="399">
        <v>2044.7523997279841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6655.3571999999995</v>
      </c>
      <c r="CJ577" s="399">
        <v>-1861.2303600000023</v>
      </c>
      <c r="CK577" s="399"/>
      <c r="CL577" s="399"/>
      <c r="CM577" s="399"/>
      <c r="CN577" s="399"/>
      <c r="CO577" s="399">
        <v>-1860.1637000000003</v>
      </c>
      <c r="CP577" s="399">
        <v>0</v>
      </c>
      <c r="CQ577" s="399">
        <v>31</v>
      </c>
      <c r="CR577" s="399">
        <v>-57.220579167631513</v>
      </c>
      <c r="CS577" s="399">
        <v>0</v>
      </c>
      <c r="CT577" s="399">
        <v>0</v>
      </c>
      <c r="CU577" s="399">
        <v>0</v>
      </c>
      <c r="CV577" s="399">
        <v>0</v>
      </c>
      <c r="CW577" s="399">
        <v>0</v>
      </c>
      <c r="CX577" s="399">
        <v>0</v>
      </c>
      <c r="CY577" s="399">
        <v>0</v>
      </c>
      <c r="CZ577" s="399">
        <v>-6.5782738271257131</v>
      </c>
      <c r="DA577" s="399">
        <v>0</v>
      </c>
      <c r="DB577" s="399">
        <v>0</v>
      </c>
      <c r="DC577" s="399">
        <v>0</v>
      </c>
      <c r="DD577" s="399">
        <v>0</v>
      </c>
      <c r="DE577" s="399">
        <v>0</v>
      </c>
      <c r="DF577" s="399">
        <v>0</v>
      </c>
      <c r="DG577" s="399">
        <v>0</v>
      </c>
      <c r="DH577" s="399">
        <v>0</v>
      </c>
      <c r="DI577" s="399">
        <v>-43.903802388395206</v>
      </c>
      <c r="DJ577" s="399"/>
      <c r="DK577" s="399">
        <v>0</v>
      </c>
      <c r="DL577" s="399">
        <v>0</v>
      </c>
      <c r="DM577" s="399">
        <v>0</v>
      </c>
      <c r="DN577" s="399">
        <v>0</v>
      </c>
      <c r="DO577" s="399">
        <v>-6.0203462026991872</v>
      </c>
      <c r="DP577" s="399">
        <v>-0.71815674941097285</v>
      </c>
      <c r="DQ577" s="399">
        <v>0</v>
      </c>
      <c r="DR577" s="399">
        <v>0</v>
      </c>
      <c r="DS577" s="399"/>
      <c r="DT577" s="399"/>
      <c r="DU577" s="399"/>
      <c r="DV577" s="399">
        <v>4173.0181075669498</v>
      </c>
      <c r="DW577" s="399">
        <v>0</v>
      </c>
      <c r="DX577" s="399">
        <v>0</v>
      </c>
      <c r="DY577" s="399">
        <v>-1860.1637000000001</v>
      </c>
      <c r="DZ577" s="399">
        <v>0</v>
      </c>
      <c r="EA577" s="399">
        <v>0</v>
      </c>
      <c r="EB577" s="399">
        <v>0</v>
      </c>
      <c r="EC577" s="399">
        <v>-1802.8247127619161</v>
      </c>
      <c r="ED577" s="399">
        <v>0</v>
      </c>
      <c r="EE577" s="399">
        <v>0</v>
      </c>
      <c r="EF577" s="399">
        <v>0</v>
      </c>
      <c r="EG577" s="399">
        <v>0</v>
      </c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>
        <v>0</v>
      </c>
      <c r="EN577" s="399">
        <v>0</v>
      </c>
      <c r="EO577" s="399">
        <v>0</v>
      </c>
      <c r="EP577" s="399">
        <v>0</v>
      </c>
      <c r="EQ577" s="399">
        <v>0</v>
      </c>
      <c r="ER577" s="399">
        <v>0</v>
      </c>
      <c r="ES577" s="399">
        <v>0</v>
      </c>
      <c r="ET577" s="399">
        <v>0</v>
      </c>
      <c r="EU577" s="399">
        <v>0</v>
      </c>
      <c r="EV577" s="399">
        <v>218</v>
      </c>
      <c r="EW577" s="399">
        <v>0</v>
      </c>
      <c r="EX577" s="399">
        <v>0</v>
      </c>
      <c r="EY577" s="399">
        <v>0</v>
      </c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582</v>
      </c>
      <c r="B578" s="399" t="s">
        <v>2361</v>
      </c>
      <c r="C578" s="399" t="s">
        <v>2328</v>
      </c>
      <c r="D578" s="399" t="s">
        <v>1826</v>
      </c>
      <c r="E578" s="399" t="s">
        <v>890</v>
      </c>
      <c r="F578" s="399" t="s">
        <v>1239</v>
      </c>
      <c r="G578" s="399" t="s">
        <v>1239</v>
      </c>
      <c r="H578" s="399" t="s">
        <v>1239</v>
      </c>
      <c r="I578" s="399" t="s">
        <v>1239</v>
      </c>
      <c r="J578" s="399" t="s">
        <v>2329</v>
      </c>
      <c r="K578" s="789">
        <v>44774</v>
      </c>
      <c r="L578" s="399">
        <v>0</v>
      </c>
      <c r="M578" s="399">
        <v>0</v>
      </c>
      <c r="N578" s="399">
        <v>-1.802</v>
      </c>
      <c r="O578" s="399">
        <v>-1.802</v>
      </c>
      <c r="P578" s="399">
        <v>-1.802</v>
      </c>
      <c r="Q578" s="399">
        <v>-1.802</v>
      </c>
      <c r="R578" s="399"/>
      <c r="S578" s="399">
        <v>521.86</v>
      </c>
      <c r="T578" s="399">
        <v>141.32</v>
      </c>
      <c r="U578" s="399"/>
      <c r="V578" s="399">
        <v>-1195.0503600000002</v>
      </c>
      <c r="W578" s="399">
        <v>-1195.0503600000002</v>
      </c>
      <c r="X578" s="399">
        <v>-934.03066000000001</v>
      </c>
      <c r="Y578" s="399">
        <v>0</v>
      </c>
      <c r="Z578" s="399">
        <v>-109.34003057333007</v>
      </c>
      <c r="AA578" s="399">
        <v>0</v>
      </c>
      <c r="AB578" s="399">
        <v>0</v>
      </c>
      <c r="AC578" s="399">
        <v>0</v>
      </c>
      <c r="AD578" s="399">
        <v>-193.81195160630369</v>
      </c>
      <c r="AE578" s="399">
        <v>-585.56133233418814</v>
      </c>
      <c r="AF578" s="399">
        <v>-254.6567119176388</v>
      </c>
      <c r="AG578" s="399">
        <v>0</v>
      </c>
      <c r="AH578" s="399">
        <v>0</v>
      </c>
      <c r="AI578" s="399">
        <v>0</v>
      </c>
      <c r="AJ578" s="399">
        <v>0</v>
      </c>
      <c r="AK578" s="399">
        <v>0</v>
      </c>
      <c r="AL578" s="399">
        <v>-16.90635021284805</v>
      </c>
      <c r="AM578" s="399"/>
      <c r="AN578" s="399">
        <v>-2.4991337636233015</v>
      </c>
      <c r="AO578" s="399">
        <v>0</v>
      </c>
      <c r="AP578" s="399">
        <v>0</v>
      </c>
      <c r="AQ578" s="399">
        <v>0</v>
      </c>
      <c r="AR578" s="399">
        <v>0</v>
      </c>
      <c r="AS578" s="399">
        <v>0</v>
      </c>
      <c r="AT578" s="399">
        <v>0</v>
      </c>
      <c r="AU578" s="399">
        <v>0</v>
      </c>
      <c r="AV578" s="399">
        <v>0</v>
      </c>
      <c r="AW578" s="399">
        <v>0</v>
      </c>
      <c r="AX578" s="399">
        <v>0</v>
      </c>
      <c r="AY578" s="399">
        <v>0</v>
      </c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>
        <v>0</v>
      </c>
      <c r="BG578" s="399">
        <v>-32.264626215816051</v>
      </c>
      <c r="BH578" s="399">
        <v>0</v>
      </c>
      <c r="BI578" s="399">
        <v>-6.31</v>
      </c>
      <c r="BJ578" s="399">
        <v>-29.07</v>
      </c>
      <c r="BK578" s="399">
        <v>-51.69</v>
      </c>
      <c r="BL578" s="399">
        <v>2</v>
      </c>
      <c r="BM578" s="399"/>
      <c r="BN578" s="399"/>
      <c r="BO578" s="399"/>
      <c r="BP578" s="399"/>
      <c r="BQ578" s="399"/>
      <c r="BR578" s="399"/>
      <c r="BS578" s="399"/>
      <c r="BT578" s="399"/>
      <c r="BU578" s="399"/>
      <c r="BV578" s="399">
        <v>-286.92133813345487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-932.99400000000003</v>
      </c>
      <c r="CJ578" s="399">
        <v>262.02636000000018</v>
      </c>
      <c r="CK578" s="399"/>
      <c r="CL578" s="399"/>
      <c r="CM578" s="399"/>
      <c r="CN578" s="399"/>
      <c r="CO578" s="399">
        <v>261.01970000000006</v>
      </c>
      <c r="CP578" s="399">
        <v>0</v>
      </c>
      <c r="CQ578" s="399">
        <v>31</v>
      </c>
      <c r="CR578" s="399">
        <v>8.029238721388424</v>
      </c>
      <c r="CS578" s="399">
        <v>0</v>
      </c>
      <c r="CT578" s="399">
        <v>0</v>
      </c>
      <c r="CU578" s="399">
        <v>0</v>
      </c>
      <c r="CV578" s="399">
        <v>0</v>
      </c>
      <c r="CW578" s="399">
        <v>0</v>
      </c>
      <c r="CX578" s="399">
        <v>0</v>
      </c>
      <c r="CY578" s="399">
        <v>0</v>
      </c>
      <c r="CZ578" s="399">
        <v>0.92306879274880771</v>
      </c>
      <c r="DA578" s="399">
        <v>0</v>
      </c>
      <c r="DB578" s="399">
        <v>0</v>
      </c>
      <c r="DC578" s="399">
        <v>0</v>
      </c>
      <c r="DD578" s="399">
        <v>0</v>
      </c>
      <c r="DE578" s="399">
        <v>0</v>
      </c>
      <c r="DF578" s="399">
        <v>0</v>
      </c>
      <c r="DG578" s="399">
        <v>0</v>
      </c>
      <c r="DH578" s="399">
        <v>0</v>
      </c>
      <c r="DI578" s="399">
        <v>6.160617653316308</v>
      </c>
      <c r="DJ578" s="399"/>
      <c r="DK578" s="399">
        <v>0</v>
      </c>
      <c r="DL578" s="399">
        <v>0</v>
      </c>
      <c r="DM578" s="399">
        <v>0</v>
      </c>
      <c r="DN578" s="399">
        <v>0</v>
      </c>
      <c r="DO578" s="399">
        <v>0.84477992970440141</v>
      </c>
      <c r="DP578" s="399">
        <v>0.10077234561895088</v>
      </c>
      <c r="DQ578" s="399">
        <v>0</v>
      </c>
      <c r="DR578" s="399">
        <v>0</v>
      </c>
      <c r="DS578" s="399"/>
      <c r="DT578" s="399"/>
      <c r="DU578" s="399"/>
      <c r="DV578" s="399">
        <v>-585.56133233418814</v>
      </c>
      <c r="DW578" s="399">
        <v>0</v>
      </c>
      <c r="DX578" s="399">
        <v>0</v>
      </c>
      <c r="DY578" s="399">
        <v>261.01970000000006</v>
      </c>
      <c r="DZ578" s="399">
        <v>0</v>
      </c>
      <c r="EA578" s="399">
        <v>0</v>
      </c>
      <c r="EB578" s="399">
        <v>0</v>
      </c>
      <c r="EC578" s="399">
        <v>252.97384616079842</v>
      </c>
      <c r="ED578" s="399">
        <v>0</v>
      </c>
      <c r="EE578" s="399">
        <v>0</v>
      </c>
      <c r="EF578" s="399">
        <v>0</v>
      </c>
      <c r="EG578" s="399">
        <v>0</v>
      </c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>
        <v>0</v>
      </c>
      <c r="EN578" s="399">
        <v>0</v>
      </c>
      <c r="EO578" s="399">
        <v>0</v>
      </c>
      <c r="EP578" s="399">
        <v>0</v>
      </c>
      <c r="EQ578" s="399">
        <v>0</v>
      </c>
      <c r="ER578" s="399">
        <v>0</v>
      </c>
      <c r="ES578" s="399">
        <v>0</v>
      </c>
      <c r="ET578" s="399">
        <v>0</v>
      </c>
      <c r="EU578" s="399">
        <v>0</v>
      </c>
      <c r="EV578" s="399">
        <v>218</v>
      </c>
      <c r="EW578" s="399">
        <v>0</v>
      </c>
      <c r="EX578" s="399">
        <v>0</v>
      </c>
      <c r="EY578" s="399">
        <v>0</v>
      </c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583</v>
      </c>
      <c r="B579" s="399" t="s">
        <v>956</v>
      </c>
      <c r="C579" s="399" t="s">
        <v>2334</v>
      </c>
      <c r="D579" s="399" t="s">
        <v>533</v>
      </c>
      <c r="E579" s="399" t="s">
        <v>890</v>
      </c>
      <c r="F579" s="399" t="s">
        <v>1239</v>
      </c>
      <c r="G579" s="399" t="s">
        <v>1239</v>
      </c>
      <c r="H579" s="399" t="s">
        <v>1239</v>
      </c>
      <c r="I579" s="399" t="s">
        <v>893</v>
      </c>
      <c r="J579" s="399" t="s">
        <v>2329</v>
      </c>
      <c r="K579" s="789">
        <v>44774</v>
      </c>
      <c r="L579" s="399">
        <v>0</v>
      </c>
      <c r="M579" s="399">
        <v>0</v>
      </c>
      <c r="N579" s="399">
        <v>129.63300000000001</v>
      </c>
      <c r="O579" s="399">
        <v>129.63300000000001</v>
      </c>
      <c r="P579" s="399">
        <v>129.63300000000001</v>
      </c>
      <c r="Q579" s="399">
        <v>129.63300000000001</v>
      </c>
      <c r="R579" s="399"/>
      <c r="S579" s="399">
        <v>2741.05</v>
      </c>
      <c r="T579" s="399">
        <v>141.32</v>
      </c>
      <c r="U579" s="399"/>
      <c r="V579" s="399">
        <v>373650.27021000005</v>
      </c>
      <c r="W579" s="399">
        <v>373650.27021000005</v>
      </c>
      <c r="X579" s="399">
        <v>267546.95604000002</v>
      </c>
      <c r="Y579" s="399">
        <v>0</v>
      </c>
      <c r="Z579" s="399">
        <v>6843.1999331197976</v>
      </c>
      <c r="AA579" s="399">
        <v>0</v>
      </c>
      <c r="AB579" s="399">
        <v>0</v>
      </c>
      <c r="AC579" s="399">
        <v>0</v>
      </c>
      <c r="AD579" s="399">
        <v>102871.75522380184</v>
      </c>
      <c r="AE579" s="399">
        <v>243425.97993639574</v>
      </c>
      <c r="AF579" s="399">
        <v>18319.596856836444</v>
      </c>
      <c r="AG579" s="399">
        <v>0</v>
      </c>
      <c r="AH579" s="399">
        <v>0</v>
      </c>
      <c r="AI579" s="399">
        <v>0</v>
      </c>
      <c r="AJ579" s="399">
        <v>0</v>
      </c>
      <c r="AK579" s="399">
        <v>0</v>
      </c>
      <c r="AL579" s="399">
        <v>1216.2158141743237</v>
      </c>
      <c r="AM579" s="399"/>
      <c r="AN579" s="399">
        <v>77.876041150957562</v>
      </c>
      <c r="AO579" s="399">
        <v>0</v>
      </c>
      <c r="AP579" s="399">
        <v>0</v>
      </c>
      <c r="AQ579" s="399">
        <v>0</v>
      </c>
      <c r="AR579" s="399">
        <v>0</v>
      </c>
      <c r="AS579" s="399">
        <v>0</v>
      </c>
      <c r="AT579" s="399">
        <v>0</v>
      </c>
      <c r="AU579" s="399">
        <v>0</v>
      </c>
      <c r="AV579" s="399">
        <v>0</v>
      </c>
      <c r="AW579" s="399">
        <v>0</v>
      </c>
      <c r="AX579" s="399">
        <v>0</v>
      </c>
      <c r="AY579" s="399">
        <v>0</v>
      </c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>
        <v>0</v>
      </c>
      <c r="BG579" s="399">
        <v>896.14753948974555</v>
      </c>
      <c r="BH579" s="399">
        <v>0</v>
      </c>
      <c r="BI579" s="399">
        <v>0</v>
      </c>
      <c r="BJ579" s="399">
        <v>0</v>
      </c>
      <c r="BK579" s="399">
        <v>0</v>
      </c>
      <c r="BL579" s="399">
        <v>0</v>
      </c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>
        <v>19215.74439632619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267540.76439999999</v>
      </c>
      <c r="CJ579" s="399">
        <v>-106109.53581000009</v>
      </c>
      <c r="CK579" s="399"/>
      <c r="CL579" s="399"/>
      <c r="CM579" s="399"/>
      <c r="CN579" s="399"/>
      <c r="CO579" s="399">
        <v>-106103.31417000004</v>
      </c>
      <c r="CP579" s="399">
        <v>0</v>
      </c>
      <c r="CQ579" s="399">
        <v>31</v>
      </c>
      <c r="CR579" s="399">
        <v>-939.43087891116738</v>
      </c>
      <c r="CS579" s="399">
        <v>0</v>
      </c>
      <c r="CT579" s="399">
        <v>0</v>
      </c>
      <c r="CU579" s="399">
        <v>0</v>
      </c>
      <c r="CV579" s="399">
        <v>0</v>
      </c>
      <c r="CW579" s="399">
        <v>0</v>
      </c>
      <c r="CX579" s="399">
        <v>0</v>
      </c>
      <c r="CY579" s="399">
        <v>0</v>
      </c>
      <c r="CZ579" s="399">
        <v>-489.9476328236633</v>
      </c>
      <c r="DA579" s="399">
        <v>0</v>
      </c>
      <c r="DB579" s="399">
        <v>0</v>
      </c>
      <c r="DC579" s="399">
        <v>0</v>
      </c>
      <c r="DD579" s="399">
        <v>0</v>
      </c>
      <c r="DE579" s="399">
        <v>0</v>
      </c>
      <c r="DF579" s="399">
        <v>0</v>
      </c>
      <c r="DG579" s="399">
        <v>0</v>
      </c>
      <c r="DH579" s="399">
        <v>0</v>
      </c>
      <c r="DI579" s="399">
        <v>-385.57093950031685</v>
      </c>
      <c r="DJ579" s="399"/>
      <c r="DK579" s="399">
        <v>0</v>
      </c>
      <c r="DL579" s="399">
        <v>0</v>
      </c>
      <c r="DM579" s="399">
        <v>0</v>
      </c>
      <c r="DN579" s="399">
        <v>0</v>
      </c>
      <c r="DO579" s="399">
        <v>-60.772117995211147</v>
      </c>
      <c r="DP579" s="399">
        <v>-3.1401885919555497</v>
      </c>
      <c r="DQ579" s="399">
        <v>0</v>
      </c>
      <c r="DR579" s="399">
        <v>0</v>
      </c>
      <c r="DS579" s="399"/>
      <c r="DT579" s="399"/>
      <c r="DU579" s="399"/>
      <c r="DV579" s="399">
        <v>243425.97993639574</v>
      </c>
      <c r="DW579" s="399">
        <v>0</v>
      </c>
      <c r="DX579" s="399">
        <v>0</v>
      </c>
      <c r="DY579" s="399">
        <v>-106103.31417000003</v>
      </c>
      <c r="DZ579" s="399">
        <v>0</v>
      </c>
      <c r="EA579" s="399">
        <v>0</v>
      </c>
      <c r="EB579" s="399">
        <v>0</v>
      </c>
      <c r="EC579" s="399">
        <v>-105164.74193146831</v>
      </c>
      <c r="ED579" s="399">
        <v>0</v>
      </c>
      <c r="EE579" s="399">
        <v>0</v>
      </c>
      <c r="EF579" s="399">
        <v>0</v>
      </c>
      <c r="EG579" s="399">
        <v>0</v>
      </c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>
        <v>0</v>
      </c>
      <c r="EN579" s="399">
        <v>0</v>
      </c>
      <c r="EO579" s="399">
        <v>0</v>
      </c>
      <c r="EP579" s="399">
        <v>0</v>
      </c>
      <c r="EQ579" s="399">
        <v>0</v>
      </c>
      <c r="ER579" s="399">
        <v>0</v>
      </c>
      <c r="ES579" s="399">
        <v>0</v>
      </c>
      <c r="ET579" s="399">
        <v>0</v>
      </c>
      <c r="EU579" s="399">
        <v>0</v>
      </c>
      <c r="EV579" s="399">
        <v>218</v>
      </c>
      <c r="EW579" s="399">
        <v>0</v>
      </c>
      <c r="EX579" s="399">
        <v>0</v>
      </c>
      <c r="EY579" s="399">
        <v>0</v>
      </c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584</v>
      </c>
      <c r="B580" s="399" t="s">
        <v>2361</v>
      </c>
      <c r="C580" s="399" t="s">
        <v>2334</v>
      </c>
      <c r="D580" s="399" t="s">
        <v>533</v>
      </c>
      <c r="E580" s="399" t="s">
        <v>890</v>
      </c>
      <c r="F580" s="399" t="s">
        <v>1239</v>
      </c>
      <c r="G580" s="399" t="s">
        <v>1239</v>
      </c>
      <c r="H580" s="399" t="s">
        <v>1239</v>
      </c>
      <c r="I580" s="399" t="s">
        <v>893</v>
      </c>
      <c r="J580" s="399" t="s">
        <v>2329</v>
      </c>
      <c r="K580" s="789">
        <v>44774</v>
      </c>
      <c r="L580" s="399">
        <v>0</v>
      </c>
      <c r="M580" s="399">
        <v>0</v>
      </c>
      <c r="N580" s="399">
        <v>0.998</v>
      </c>
      <c r="O580" s="399">
        <v>0.998</v>
      </c>
      <c r="P580" s="399">
        <v>0.998</v>
      </c>
      <c r="Q580" s="399">
        <v>0.998</v>
      </c>
      <c r="R580" s="399"/>
      <c r="S580" s="399">
        <v>2741.05</v>
      </c>
      <c r="T580" s="399">
        <v>141.32</v>
      </c>
      <c r="U580" s="399"/>
      <c r="V580" s="399">
        <v>2876.6052599999998</v>
      </c>
      <c r="W580" s="399">
        <v>2876.6052599999998</v>
      </c>
      <c r="X580" s="399">
        <v>2059.7522399999998</v>
      </c>
      <c r="Y580" s="399">
        <v>0</v>
      </c>
      <c r="Z580" s="399">
        <v>52.683448915427071</v>
      </c>
      <c r="AA580" s="399">
        <v>0</v>
      </c>
      <c r="AB580" s="399">
        <v>0</v>
      </c>
      <c r="AC580" s="399">
        <v>0</v>
      </c>
      <c r="AD580" s="399">
        <v>791.97435616975793</v>
      </c>
      <c r="AE580" s="399">
        <v>1874.0531190092256</v>
      </c>
      <c r="AF580" s="399">
        <v>141.03629217192204</v>
      </c>
      <c r="AG580" s="399">
        <v>0</v>
      </c>
      <c r="AH580" s="399">
        <v>0</v>
      </c>
      <c r="AI580" s="399">
        <v>0</v>
      </c>
      <c r="AJ580" s="399">
        <v>0</v>
      </c>
      <c r="AK580" s="399">
        <v>0</v>
      </c>
      <c r="AL580" s="399">
        <v>9.3632283642743364</v>
      </c>
      <c r="AM580" s="399"/>
      <c r="AN580" s="399">
        <v>0.59954092760836852</v>
      </c>
      <c r="AO580" s="399">
        <v>0</v>
      </c>
      <c r="AP580" s="399">
        <v>0</v>
      </c>
      <c r="AQ580" s="399">
        <v>0</v>
      </c>
      <c r="AR580" s="399">
        <v>0</v>
      </c>
      <c r="AS580" s="399">
        <v>0</v>
      </c>
      <c r="AT580" s="399">
        <v>0</v>
      </c>
      <c r="AU580" s="399">
        <v>0</v>
      </c>
      <c r="AV580" s="399">
        <v>0</v>
      </c>
      <c r="AW580" s="399">
        <v>0</v>
      </c>
      <c r="AX580" s="399">
        <v>0</v>
      </c>
      <c r="AY580" s="399">
        <v>0</v>
      </c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>
        <v>0</v>
      </c>
      <c r="BG580" s="399">
        <v>6.8991325080092727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/>
      <c r="BO580" s="399"/>
      <c r="BP580" s="399"/>
      <c r="BQ580" s="399"/>
      <c r="BR580" s="399"/>
      <c r="BS580" s="399"/>
      <c r="BT580" s="399"/>
      <c r="BU580" s="399"/>
      <c r="BV580" s="399">
        <v>147.93542467993132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2063.88</v>
      </c>
      <c r="CJ580" s="399">
        <v>-812.75526000000036</v>
      </c>
      <c r="CK580" s="399"/>
      <c r="CL580" s="399"/>
      <c r="CM580" s="399"/>
      <c r="CN580" s="399"/>
      <c r="CO580" s="399">
        <v>-816.85302000000024</v>
      </c>
      <c r="CP580" s="399">
        <v>0</v>
      </c>
      <c r="CQ580" s="399">
        <v>31</v>
      </c>
      <c r="CR580" s="399">
        <v>-7.232356091067345</v>
      </c>
      <c r="CS580" s="399">
        <v>0</v>
      </c>
      <c r="CT580" s="399">
        <v>0</v>
      </c>
      <c r="CU580" s="399">
        <v>0</v>
      </c>
      <c r="CV580" s="399">
        <v>0</v>
      </c>
      <c r="CW580" s="399">
        <v>0</v>
      </c>
      <c r="CX580" s="399">
        <v>0</v>
      </c>
      <c r="CY580" s="399">
        <v>0</v>
      </c>
      <c r="CZ580" s="399">
        <v>-3.7719387621825717</v>
      </c>
      <c r="DA580" s="399">
        <v>0</v>
      </c>
      <c r="DB580" s="399">
        <v>0</v>
      </c>
      <c r="DC580" s="399">
        <v>0</v>
      </c>
      <c r="DD580" s="399">
        <v>0</v>
      </c>
      <c r="DE580" s="399">
        <v>0</v>
      </c>
      <c r="DF580" s="399">
        <v>0</v>
      </c>
      <c r="DG580" s="399">
        <v>0</v>
      </c>
      <c r="DH580" s="399">
        <v>0</v>
      </c>
      <c r="DI580" s="399">
        <v>-2.9683784038116485</v>
      </c>
      <c r="DJ580" s="399"/>
      <c r="DK580" s="399">
        <v>0</v>
      </c>
      <c r="DL580" s="399">
        <v>0</v>
      </c>
      <c r="DM580" s="399">
        <v>0</v>
      </c>
      <c r="DN580" s="399">
        <v>0</v>
      </c>
      <c r="DO580" s="399">
        <v>-0.46786369025804397</v>
      </c>
      <c r="DP580" s="399">
        <v>-2.4175234814990287E-2</v>
      </c>
      <c r="DQ580" s="399">
        <v>0</v>
      </c>
      <c r="DR580" s="399">
        <v>0</v>
      </c>
      <c r="DS580" s="399"/>
      <c r="DT580" s="399"/>
      <c r="DU580" s="399"/>
      <c r="DV580" s="399">
        <v>1874.0531190092256</v>
      </c>
      <c r="DW580" s="399">
        <v>0</v>
      </c>
      <c r="DX580" s="399">
        <v>0</v>
      </c>
      <c r="DY580" s="399">
        <v>-816.85302000000001</v>
      </c>
      <c r="DZ580" s="399">
        <v>0</v>
      </c>
      <c r="EA580" s="399">
        <v>0</v>
      </c>
      <c r="EB580" s="399">
        <v>0</v>
      </c>
      <c r="EC580" s="399">
        <v>-809.62727428668131</v>
      </c>
      <c r="ED580" s="399">
        <v>0</v>
      </c>
      <c r="EE580" s="399">
        <v>0</v>
      </c>
      <c r="EF580" s="399">
        <v>0</v>
      </c>
      <c r="EG580" s="399">
        <v>0</v>
      </c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>
        <v>0</v>
      </c>
      <c r="EN580" s="399">
        <v>0</v>
      </c>
      <c r="EO580" s="399">
        <v>0</v>
      </c>
      <c r="EP580" s="399">
        <v>0</v>
      </c>
      <c r="EQ580" s="399">
        <v>0</v>
      </c>
      <c r="ER580" s="399">
        <v>0</v>
      </c>
      <c r="ES580" s="399">
        <v>0</v>
      </c>
      <c r="ET580" s="399">
        <v>0</v>
      </c>
      <c r="EU580" s="399">
        <v>0</v>
      </c>
      <c r="EV580" s="399">
        <v>218</v>
      </c>
      <c r="EW580" s="399">
        <v>0</v>
      </c>
      <c r="EX580" s="399">
        <v>0</v>
      </c>
      <c r="EY580" s="399">
        <v>0</v>
      </c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585</v>
      </c>
      <c r="B581" s="399" t="s">
        <v>956</v>
      </c>
      <c r="C581" s="399" t="s">
        <v>2334</v>
      </c>
      <c r="D581" s="399" t="s">
        <v>533</v>
      </c>
      <c r="E581" s="399" t="s">
        <v>890</v>
      </c>
      <c r="F581" s="399" t="s">
        <v>1239</v>
      </c>
      <c r="G581" s="399" t="s">
        <v>1239</v>
      </c>
      <c r="H581" s="399" t="s">
        <v>1239</v>
      </c>
      <c r="I581" s="399" t="s">
        <v>2326</v>
      </c>
      <c r="J581" s="399" t="s">
        <v>2329</v>
      </c>
      <c r="K581" s="789">
        <v>44774</v>
      </c>
      <c r="L581" s="399">
        <v>0</v>
      </c>
      <c r="M581" s="399">
        <v>0</v>
      </c>
      <c r="N581" s="399">
        <v>2422.6669999999999</v>
      </c>
      <c r="O581" s="399">
        <v>2422.6669999999999</v>
      </c>
      <c r="P581" s="399">
        <v>2422.6669999999999</v>
      </c>
      <c r="Q581" s="399">
        <v>2422.6669999999999</v>
      </c>
      <c r="R581" s="399"/>
      <c r="S581" s="399">
        <v>69.680000000000007</v>
      </c>
      <c r="T581" s="399">
        <v>141.32</v>
      </c>
      <c r="U581" s="399"/>
      <c r="V581" s="399">
        <v>511182.73699999996</v>
      </c>
      <c r="W581" s="399">
        <v>511182.73699999996</v>
      </c>
      <c r="X581" s="399">
        <v>502800.30917999998</v>
      </c>
      <c r="Y581" s="399">
        <v>0</v>
      </c>
      <c r="Z581" s="399">
        <v>127890.23360079253</v>
      </c>
      <c r="AA581" s="399">
        <v>0</v>
      </c>
      <c r="AB581" s="399">
        <v>0</v>
      </c>
      <c r="AC581" s="399">
        <v>0</v>
      </c>
      <c r="AD581" s="399">
        <v>0</v>
      </c>
      <c r="AE581" s="399">
        <v>0</v>
      </c>
      <c r="AF581" s="399">
        <v>342368.70826380147</v>
      </c>
      <c r="AG581" s="399">
        <v>0</v>
      </c>
      <c r="AH581" s="399">
        <v>0</v>
      </c>
      <c r="AI581" s="399">
        <v>0</v>
      </c>
      <c r="AJ581" s="399">
        <v>0</v>
      </c>
      <c r="AK581" s="399">
        <v>0</v>
      </c>
      <c r="AL581" s="399">
        <v>22729.443258107629</v>
      </c>
      <c r="AM581" s="399"/>
      <c r="AN581" s="399">
        <v>1455.3988181023881</v>
      </c>
      <c r="AO581" s="399">
        <v>0</v>
      </c>
      <c r="AP581" s="399">
        <v>0</v>
      </c>
      <c r="AQ581" s="399">
        <v>0</v>
      </c>
      <c r="AR581" s="399">
        <v>0</v>
      </c>
      <c r="AS581" s="399">
        <v>0</v>
      </c>
      <c r="AT581" s="399">
        <v>0</v>
      </c>
      <c r="AU581" s="399">
        <v>0</v>
      </c>
      <c r="AV581" s="399">
        <v>0</v>
      </c>
      <c r="AW581" s="399">
        <v>0</v>
      </c>
      <c r="AX581" s="399">
        <v>0</v>
      </c>
      <c r="AY581" s="399">
        <v>0</v>
      </c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>
        <v>0</v>
      </c>
      <c r="BG581" s="399">
        <v>16747.796248277857</v>
      </c>
      <c r="BH581" s="399">
        <v>0</v>
      </c>
      <c r="BI581" s="399">
        <v>0</v>
      </c>
      <c r="BJ581" s="399">
        <v>0</v>
      </c>
      <c r="BK581" s="399">
        <v>0</v>
      </c>
      <c r="BL581" s="399">
        <v>0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>
        <v>359116.50451207935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502800.93180000002</v>
      </c>
      <c r="CJ581" s="399">
        <v>-8381.8351999999722</v>
      </c>
      <c r="CK581" s="399"/>
      <c r="CL581" s="399"/>
      <c r="CM581" s="399"/>
      <c r="CN581" s="399"/>
      <c r="CO581" s="399">
        <v>-8382.427820000019</v>
      </c>
      <c r="CP581" s="399">
        <v>0</v>
      </c>
      <c r="CQ581" s="399">
        <v>31</v>
      </c>
      <c r="CR581" s="399">
        <v>-8400.2393476123107</v>
      </c>
      <c r="CS581" s="399">
        <v>0</v>
      </c>
      <c r="CT581" s="399">
        <v>0</v>
      </c>
      <c r="CU581" s="399">
        <v>0</v>
      </c>
      <c r="CV581" s="399">
        <v>0</v>
      </c>
      <c r="CW581" s="399">
        <v>0</v>
      </c>
      <c r="CX581" s="399">
        <v>0</v>
      </c>
      <c r="CY581" s="399">
        <v>0</v>
      </c>
      <c r="CZ581" s="399">
        <v>0</v>
      </c>
      <c r="DA581" s="399">
        <v>0</v>
      </c>
      <c r="DB581" s="399">
        <v>0</v>
      </c>
      <c r="DC581" s="399">
        <v>0</v>
      </c>
      <c r="DD581" s="399">
        <v>0</v>
      </c>
      <c r="DE581" s="399">
        <v>0</v>
      </c>
      <c r="DF581" s="399">
        <v>0</v>
      </c>
      <c r="DG581" s="399">
        <v>0</v>
      </c>
      <c r="DH581" s="399">
        <v>0</v>
      </c>
      <c r="DI581" s="399">
        <v>-7205.8040104480606</v>
      </c>
      <c r="DJ581" s="399"/>
      <c r="DK581" s="399">
        <v>0</v>
      </c>
      <c r="DL581" s="399">
        <v>0</v>
      </c>
      <c r="DM581" s="399">
        <v>0</v>
      </c>
      <c r="DN581" s="399">
        <v>0</v>
      </c>
      <c r="DO581" s="399">
        <v>-1135.7494217298445</v>
      </c>
      <c r="DP581" s="399">
        <v>-58.685915434396975</v>
      </c>
      <c r="DQ581" s="399">
        <v>0</v>
      </c>
      <c r="DR581" s="399">
        <v>0</v>
      </c>
      <c r="DS581" s="399"/>
      <c r="DT581" s="399"/>
      <c r="DU581" s="399"/>
      <c r="DV581" s="399">
        <v>0</v>
      </c>
      <c r="DW581" s="399">
        <v>0</v>
      </c>
      <c r="DX581" s="399">
        <v>0</v>
      </c>
      <c r="DY581" s="399">
        <v>-8382.4278200000117</v>
      </c>
      <c r="DZ581" s="399">
        <v>0</v>
      </c>
      <c r="EA581" s="399">
        <v>0</v>
      </c>
      <c r="EB581" s="399">
        <v>0</v>
      </c>
      <c r="EC581" s="399">
        <v>0</v>
      </c>
      <c r="ED581" s="399">
        <v>0</v>
      </c>
      <c r="EE581" s="399">
        <v>0</v>
      </c>
      <c r="EF581" s="399">
        <v>0</v>
      </c>
      <c r="EG581" s="399">
        <v>0</v>
      </c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>
        <v>0</v>
      </c>
      <c r="EN581" s="399">
        <v>0</v>
      </c>
      <c r="EO581" s="399">
        <v>0</v>
      </c>
      <c r="EP581" s="399">
        <v>0</v>
      </c>
      <c r="EQ581" s="399">
        <v>0</v>
      </c>
      <c r="ER581" s="399">
        <v>0</v>
      </c>
      <c r="ES581" s="399">
        <v>0</v>
      </c>
      <c r="ET581" s="399">
        <v>0</v>
      </c>
      <c r="EU581" s="399">
        <v>0</v>
      </c>
      <c r="EV581" s="399">
        <v>218</v>
      </c>
      <c r="EW581" s="399">
        <v>0</v>
      </c>
      <c r="EX581" s="399">
        <v>0</v>
      </c>
      <c r="EY581" s="399">
        <v>0</v>
      </c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586</v>
      </c>
      <c r="B582" s="399" t="s">
        <v>2361</v>
      </c>
      <c r="C582" s="399" t="s">
        <v>2334</v>
      </c>
      <c r="D582" s="399" t="s">
        <v>533</v>
      </c>
      <c r="E582" s="399" t="s">
        <v>890</v>
      </c>
      <c r="F582" s="399" t="s">
        <v>1239</v>
      </c>
      <c r="G582" s="399" t="s">
        <v>1239</v>
      </c>
      <c r="H582" s="399" t="s">
        <v>1239</v>
      </c>
      <c r="I582" s="399" t="s">
        <v>2326</v>
      </c>
      <c r="J582" s="399" t="s">
        <v>2329</v>
      </c>
      <c r="K582" s="789">
        <v>44774</v>
      </c>
      <c r="L582" s="399">
        <v>0</v>
      </c>
      <c r="M582" s="399">
        <v>0</v>
      </c>
      <c r="N582" s="399">
        <v>16.36</v>
      </c>
      <c r="O582" s="399">
        <v>16.36</v>
      </c>
      <c r="P582" s="399">
        <v>16.36</v>
      </c>
      <c r="Q582" s="399">
        <v>16.36</v>
      </c>
      <c r="R582" s="399"/>
      <c r="S582" s="399">
        <v>69.680000000000007</v>
      </c>
      <c r="T582" s="399">
        <v>141.32</v>
      </c>
      <c r="U582" s="399"/>
      <c r="V582" s="399">
        <v>3451.96</v>
      </c>
      <c r="W582" s="399">
        <v>3451.96</v>
      </c>
      <c r="X582" s="399">
        <v>3395.3543999999997</v>
      </c>
      <c r="Y582" s="399">
        <v>0</v>
      </c>
      <c r="Z582" s="399">
        <v>863.6284812188245</v>
      </c>
      <c r="AA582" s="399">
        <v>0</v>
      </c>
      <c r="AB582" s="399">
        <v>0</v>
      </c>
      <c r="AC582" s="399">
        <v>0</v>
      </c>
      <c r="AD582" s="399">
        <v>0</v>
      </c>
      <c r="AE582" s="399">
        <v>0</v>
      </c>
      <c r="AF582" s="399">
        <v>2311.9776953232913</v>
      </c>
      <c r="AG582" s="399">
        <v>0</v>
      </c>
      <c r="AH582" s="399">
        <v>0</v>
      </c>
      <c r="AI582" s="399">
        <v>0</v>
      </c>
      <c r="AJ582" s="399">
        <v>0</v>
      </c>
      <c r="AK582" s="399">
        <v>0</v>
      </c>
      <c r="AL582" s="399">
        <v>153.48939482918649</v>
      </c>
      <c r="AM582" s="399"/>
      <c r="AN582" s="399">
        <v>9.8281458674077236</v>
      </c>
      <c r="AO582" s="399">
        <v>0</v>
      </c>
      <c r="AP582" s="399">
        <v>0</v>
      </c>
      <c r="AQ582" s="399">
        <v>0</v>
      </c>
      <c r="AR582" s="399">
        <v>0</v>
      </c>
      <c r="AS582" s="399">
        <v>0</v>
      </c>
      <c r="AT582" s="399">
        <v>0</v>
      </c>
      <c r="AU582" s="399">
        <v>0</v>
      </c>
      <c r="AV582" s="399">
        <v>0</v>
      </c>
      <c r="AW582" s="399">
        <v>0</v>
      </c>
      <c r="AX582" s="399">
        <v>0</v>
      </c>
      <c r="AY582" s="399">
        <v>0</v>
      </c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>
        <v>0</v>
      </c>
      <c r="BG582" s="399">
        <v>113.09599983069307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/>
      <c r="BO582" s="399"/>
      <c r="BP582" s="399"/>
      <c r="BQ582" s="399"/>
      <c r="BR582" s="399"/>
      <c r="BS582" s="399"/>
      <c r="BT582" s="399"/>
      <c r="BU582" s="399"/>
      <c r="BV582" s="399">
        <v>2425.0736951539843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3395.3543999999997</v>
      </c>
      <c r="CJ582" s="399">
        <v>-56.635600000000068</v>
      </c>
      <c r="CK582" s="399"/>
      <c r="CL582" s="399"/>
      <c r="CM582" s="399"/>
      <c r="CN582" s="399"/>
      <c r="CO582" s="399">
        <v>-56.60560000000013</v>
      </c>
      <c r="CP582" s="399">
        <v>0</v>
      </c>
      <c r="CQ582" s="399">
        <v>31</v>
      </c>
      <c r="CR582" s="399">
        <v>-56.725879259071917</v>
      </c>
      <c r="CS582" s="399">
        <v>0</v>
      </c>
      <c r="CT582" s="399">
        <v>0</v>
      </c>
      <c r="CU582" s="399">
        <v>0</v>
      </c>
      <c r="CV582" s="399">
        <v>0</v>
      </c>
      <c r="CW582" s="399">
        <v>0</v>
      </c>
      <c r="CX582" s="399">
        <v>0</v>
      </c>
      <c r="CY582" s="399">
        <v>0</v>
      </c>
      <c r="CZ582" s="399">
        <v>0</v>
      </c>
      <c r="DA582" s="399">
        <v>0</v>
      </c>
      <c r="DB582" s="399">
        <v>0</v>
      </c>
      <c r="DC582" s="399">
        <v>0</v>
      </c>
      <c r="DD582" s="399">
        <v>0</v>
      </c>
      <c r="DE582" s="399">
        <v>0</v>
      </c>
      <c r="DF582" s="399">
        <v>0</v>
      </c>
      <c r="DG582" s="399">
        <v>0</v>
      </c>
      <c r="DH582" s="399">
        <v>0</v>
      </c>
      <c r="DI582" s="399">
        <v>-48.659990667694046</v>
      </c>
      <c r="DJ582" s="399"/>
      <c r="DK582" s="399">
        <v>0</v>
      </c>
      <c r="DL582" s="399">
        <v>0</v>
      </c>
      <c r="DM582" s="399">
        <v>0</v>
      </c>
      <c r="DN582" s="399">
        <v>0</v>
      </c>
      <c r="DO582" s="399">
        <v>-7.6695891509234286</v>
      </c>
      <c r="DP582" s="399">
        <v>-0.39629944045414867</v>
      </c>
      <c r="DQ582" s="399">
        <v>0</v>
      </c>
      <c r="DR582" s="399">
        <v>0</v>
      </c>
      <c r="DS582" s="399"/>
      <c r="DT582" s="399"/>
      <c r="DU582" s="399"/>
      <c r="DV582" s="399">
        <v>0</v>
      </c>
      <c r="DW582" s="399">
        <v>0</v>
      </c>
      <c r="DX582" s="399">
        <v>0</v>
      </c>
      <c r="DY582" s="399">
        <v>-56.605600000000095</v>
      </c>
      <c r="DZ582" s="399">
        <v>0</v>
      </c>
      <c r="EA582" s="399">
        <v>0</v>
      </c>
      <c r="EB582" s="399">
        <v>0</v>
      </c>
      <c r="EC582" s="399">
        <v>0</v>
      </c>
      <c r="ED582" s="399">
        <v>0</v>
      </c>
      <c r="EE582" s="399">
        <v>0</v>
      </c>
      <c r="EF582" s="399">
        <v>0</v>
      </c>
      <c r="EG582" s="399">
        <v>0</v>
      </c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>
        <v>0</v>
      </c>
      <c r="EN582" s="399">
        <v>0</v>
      </c>
      <c r="EO582" s="399">
        <v>0</v>
      </c>
      <c r="EP582" s="399">
        <v>0</v>
      </c>
      <c r="EQ582" s="399">
        <v>0</v>
      </c>
      <c r="ER582" s="399">
        <v>0</v>
      </c>
      <c r="ES582" s="399">
        <v>0</v>
      </c>
      <c r="ET582" s="399">
        <v>0</v>
      </c>
      <c r="EU582" s="399">
        <v>0</v>
      </c>
      <c r="EV582" s="399">
        <v>218</v>
      </c>
      <c r="EW582" s="399">
        <v>0</v>
      </c>
      <c r="EX582" s="399">
        <v>0</v>
      </c>
      <c r="EY582" s="399">
        <v>0</v>
      </c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587</v>
      </c>
      <c r="B583" s="399" t="s">
        <v>956</v>
      </c>
      <c r="C583" s="399" t="s">
        <v>2334</v>
      </c>
      <c r="D583" s="399" t="s">
        <v>533</v>
      </c>
      <c r="E583" s="399" t="s">
        <v>890</v>
      </c>
      <c r="F583" s="399" t="s">
        <v>1239</v>
      </c>
      <c r="G583" s="399" t="s">
        <v>1239</v>
      </c>
      <c r="H583" s="399" t="s">
        <v>1239</v>
      </c>
      <c r="I583" s="399" t="s">
        <v>1239</v>
      </c>
      <c r="J583" s="399" t="s">
        <v>2329</v>
      </c>
      <c r="K583" s="789">
        <v>44774</v>
      </c>
      <c r="L583" s="399">
        <v>10756</v>
      </c>
      <c r="M583" s="399">
        <v>10756</v>
      </c>
      <c r="N583" s="399">
        <v>0</v>
      </c>
      <c r="O583" s="399">
        <v>0</v>
      </c>
      <c r="P583" s="399">
        <v>0</v>
      </c>
      <c r="Q583" s="399">
        <v>0</v>
      </c>
      <c r="R583" s="399">
        <v>35.15</v>
      </c>
      <c r="S583" s="399"/>
      <c r="T583" s="399"/>
      <c r="U583" s="399">
        <v>378073.39999999997</v>
      </c>
      <c r="V583" s="399"/>
      <c r="W583" s="399">
        <v>378073.39999999997</v>
      </c>
      <c r="X583" s="399">
        <v>275998.96000000002</v>
      </c>
      <c r="Y583" s="399">
        <v>0</v>
      </c>
      <c r="Z583" s="399">
        <v>0</v>
      </c>
      <c r="AA583" s="399">
        <v>0</v>
      </c>
      <c r="AB583" s="399">
        <v>0</v>
      </c>
      <c r="AC583" s="399">
        <v>0</v>
      </c>
      <c r="AD583" s="399">
        <v>143392.25113439781</v>
      </c>
      <c r="AE583" s="399">
        <v>234674.16299212317</v>
      </c>
      <c r="AF583" s="399"/>
      <c r="AG583" s="399"/>
      <c r="AH583" s="399"/>
      <c r="AI583" s="399">
        <v>0</v>
      </c>
      <c r="AJ583" s="399">
        <v>0</v>
      </c>
      <c r="AK583" s="399">
        <v>0</v>
      </c>
      <c r="AL583" s="399">
        <v>0</v>
      </c>
      <c r="AM583" s="399"/>
      <c r="AN583" s="399">
        <v>0</v>
      </c>
      <c r="AO583" s="399">
        <v>0</v>
      </c>
      <c r="AP583" s="399">
        <v>0</v>
      </c>
      <c r="AQ583" s="399">
        <v>0</v>
      </c>
      <c r="AR583" s="399">
        <v>0</v>
      </c>
      <c r="AS583" s="399"/>
      <c r="AT583" s="399"/>
      <c r="AU583" s="399">
        <v>0</v>
      </c>
      <c r="AV583" s="399">
        <v>0</v>
      </c>
      <c r="AW583" s="399">
        <v>0</v>
      </c>
      <c r="AX583" s="399"/>
      <c r="AY583" s="399"/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/>
      <c r="BG583" s="399">
        <v>0</v>
      </c>
      <c r="BH583" s="399">
        <v>0</v>
      </c>
      <c r="BI583" s="399">
        <v>7106.33</v>
      </c>
      <c r="BJ583" s="399">
        <v>32798.480000000003</v>
      </c>
      <c r="BK583" s="399">
        <v>216004.87</v>
      </c>
      <c r="BL583" s="399">
        <v>29</v>
      </c>
      <c r="BM583" s="399"/>
      <c r="BN583" s="399"/>
      <c r="BO583" s="399"/>
      <c r="BP583" s="399"/>
      <c r="BQ583" s="399"/>
      <c r="BR583" s="399"/>
      <c r="BS583" s="399"/>
      <c r="BT583" s="399"/>
      <c r="BU583" s="399"/>
      <c r="BV583" s="399">
        <v>0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275998.96000000002</v>
      </c>
      <c r="CJ583" s="399">
        <v>-102074.46999999997</v>
      </c>
      <c r="CK583" s="399"/>
      <c r="CL583" s="399"/>
      <c r="CM583" s="399"/>
      <c r="CN583" s="399"/>
      <c r="CO583" s="399">
        <v>-102074.43999999999</v>
      </c>
      <c r="CP583" s="399">
        <v>0</v>
      </c>
      <c r="CQ583" s="399">
        <v>31</v>
      </c>
      <c r="CR583" s="399">
        <v>-682.93472640393884</v>
      </c>
      <c r="CS583" s="399">
        <v>0</v>
      </c>
      <c r="CT583" s="399">
        <v>0</v>
      </c>
      <c r="CU583" s="399">
        <v>0</v>
      </c>
      <c r="CV583" s="399">
        <v>0</v>
      </c>
      <c r="CW583" s="399"/>
      <c r="CX583" s="399"/>
      <c r="CY583" s="399"/>
      <c r="CZ583" s="399">
        <v>-682.93472640393884</v>
      </c>
      <c r="DA583" s="399">
        <v>0</v>
      </c>
      <c r="DB583" s="399">
        <v>0</v>
      </c>
      <c r="DC583" s="399"/>
      <c r="DD583" s="399"/>
      <c r="DE583" s="399">
        <v>0</v>
      </c>
      <c r="DF583" s="399">
        <v>0</v>
      </c>
      <c r="DG583" s="399">
        <v>0</v>
      </c>
      <c r="DH583" s="399">
        <v>0</v>
      </c>
      <c r="DI583" s="399">
        <v>0</v>
      </c>
      <c r="DJ583" s="399"/>
      <c r="DK583" s="399">
        <v>0</v>
      </c>
      <c r="DL583" s="399">
        <v>0</v>
      </c>
      <c r="DM583" s="399"/>
      <c r="DN583" s="399">
        <v>0</v>
      </c>
      <c r="DO583" s="399">
        <v>0</v>
      </c>
      <c r="DP583" s="399">
        <v>0</v>
      </c>
      <c r="DQ583" s="399">
        <v>0</v>
      </c>
      <c r="DR583" s="399">
        <v>0</v>
      </c>
      <c r="DS583" s="399"/>
      <c r="DT583" s="399"/>
      <c r="DU583" s="399">
        <v>234674.16299212317</v>
      </c>
      <c r="DV583" s="399"/>
      <c r="DW583" s="399">
        <v>0</v>
      </c>
      <c r="DX583" s="399">
        <v>0</v>
      </c>
      <c r="DY583" s="399">
        <v>-102074.43999999994</v>
      </c>
      <c r="DZ583" s="399"/>
      <c r="EA583" s="399">
        <v>0</v>
      </c>
      <c r="EB583" s="399"/>
      <c r="EC583" s="399">
        <v>-101383.78736525305</v>
      </c>
      <c r="ED583" s="399"/>
      <c r="EE583" s="399">
        <v>0</v>
      </c>
      <c r="EF583" s="399">
        <v>0</v>
      </c>
      <c r="EG583" s="399"/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/>
      <c r="EN583" s="399"/>
      <c r="EO583" s="399">
        <v>0</v>
      </c>
      <c r="EP583" s="399">
        <v>0</v>
      </c>
      <c r="EQ583" s="399"/>
      <c r="ER583" s="399">
        <v>0</v>
      </c>
      <c r="ES583" s="399"/>
      <c r="ET583" s="399">
        <v>0</v>
      </c>
      <c r="EU583" s="399"/>
      <c r="EV583" s="399">
        <v>218</v>
      </c>
      <c r="EW583" s="399"/>
      <c r="EX583" s="399"/>
      <c r="EY583" s="399"/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588</v>
      </c>
      <c r="B584" s="399" t="s">
        <v>2361</v>
      </c>
      <c r="C584" s="399" t="s">
        <v>2334</v>
      </c>
      <c r="D584" s="399" t="s">
        <v>533</v>
      </c>
      <c r="E584" s="399" t="s">
        <v>890</v>
      </c>
      <c r="F584" s="399" t="s">
        <v>1239</v>
      </c>
      <c r="G584" s="399" t="s">
        <v>1239</v>
      </c>
      <c r="H584" s="399" t="s">
        <v>1239</v>
      </c>
      <c r="I584" s="399" t="s">
        <v>1239</v>
      </c>
      <c r="J584" s="399" t="s">
        <v>2329</v>
      </c>
      <c r="K584" s="789">
        <v>44774</v>
      </c>
      <c r="L584" s="399">
        <v>578</v>
      </c>
      <c r="M584" s="399">
        <v>578</v>
      </c>
      <c r="N584" s="399">
        <v>0</v>
      </c>
      <c r="O584" s="399">
        <v>0</v>
      </c>
      <c r="P584" s="399">
        <v>0</v>
      </c>
      <c r="Q584" s="399">
        <v>0</v>
      </c>
      <c r="R584" s="399">
        <v>35.15</v>
      </c>
      <c r="S584" s="399"/>
      <c r="T584" s="399"/>
      <c r="U584" s="399">
        <v>20316.7</v>
      </c>
      <c r="V584" s="399"/>
      <c r="W584" s="399">
        <v>20316.7</v>
      </c>
      <c r="X584" s="399">
        <v>14831.48</v>
      </c>
      <c r="Y584" s="399">
        <v>0</v>
      </c>
      <c r="Z584" s="399">
        <v>0</v>
      </c>
      <c r="AA584" s="399">
        <v>0</v>
      </c>
      <c r="AB584" s="399">
        <v>0</v>
      </c>
      <c r="AC584" s="399">
        <v>0</v>
      </c>
      <c r="AD584" s="399">
        <v>7705.533763079392</v>
      </c>
      <c r="AE584" s="399">
        <v>12610.790833901747</v>
      </c>
      <c r="AF584" s="399"/>
      <c r="AG584" s="399"/>
      <c r="AH584" s="399"/>
      <c r="AI584" s="399">
        <v>0</v>
      </c>
      <c r="AJ584" s="399">
        <v>0</v>
      </c>
      <c r="AK584" s="399">
        <v>0</v>
      </c>
      <c r="AL584" s="399">
        <v>0</v>
      </c>
      <c r="AM584" s="399"/>
      <c r="AN584" s="399">
        <v>0</v>
      </c>
      <c r="AO584" s="399">
        <v>0</v>
      </c>
      <c r="AP584" s="399">
        <v>0</v>
      </c>
      <c r="AQ584" s="399">
        <v>0</v>
      </c>
      <c r="AR584" s="399">
        <v>0</v>
      </c>
      <c r="AS584" s="399"/>
      <c r="AT584" s="399"/>
      <c r="AU584" s="399">
        <v>0</v>
      </c>
      <c r="AV584" s="399">
        <v>0</v>
      </c>
      <c r="AW584" s="399">
        <v>0</v>
      </c>
      <c r="AX584" s="399"/>
      <c r="AY584" s="399"/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/>
      <c r="BG584" s="399">
        <v>0</v>
      </c>
      <c r="BH584" s="399">
        <v>0</v>
      </c>
      <c r="BI584" s="399">
        <v>154.4</v>
      </c>
      <c r="BJ584" s="399">
        <v>712.64</v>
      </c>
      <c r="BK584" s="399">
        <v>5031.92</v>
      </c>
      <c r="BL584" s="399">
        <v>3</v>
      </c>
      <c r="BM584" s="399"/>
      <c r="BN584" s="399"/>
      <c r="BO584" s="399"/>
      <c r="BP584" s="399"/>
      <c r="BQ584" s="399"/>
      <c r="BR584" s="399"/>
      <c r="BS584" s="399"/>
      <c r="BT584" s="399"/>
      <c r="BU584" s="399"/>
      <c r="BV584" s="399">
        <v>0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14831.48</v>
      </c>
      <c r="CJ584" s="399">
        <v>-5485.2499999999964</v>
      </c>
      <c r="CK584" s="399"/>
      <c r="CL584" s="399"/>
      <c r="CM584" s="399"/>
      <c r="CN584" s="399"/>
      <c r="CO584" s="399">
        <v>-5485.2199999999993</v>
      </c>
      <c r="CP584" s="399">
        <v>0</v>
      </c>
      <c r="CQ584" s="399">
        <v>31</v>
      </c>
      <c r="CR584" s="399">
        <v>-36.699169938776322</v>
      </c>
      <c r="CS584" s="399">
        <v>0</v>
      </c>
      <c r="CT584" s="399">
        <v>0</v>
      </c>
      <c r="CU584" s="399">
        <v>0</v>
      </c>
      <c r="CV584" s="399">
        <v>0</v>
      </c>
      <c r="CW584" s="399"/>
      <c r="CX584" s="399"/>
      <c r="CY584" s="399"/>
      <c r="CZ584" s="399">
        <v>-36.699169938776322</v>
      </c>
      <c r="DA584" s="399">
        <v>0</v>
      </c>
      <c r="DB584" s="399">
        <v>0</v>
      </c>
      <c r="DC584" s="399"/>
      <c r="DD584" s="399"/>
      <c r="DE584" s="399">
        <v>0</v>
      </c>
      <c r="DF584" s="399">
        <v>0</v>
      </c>
      <c r="DG584" s="399">
        <v>0</v>
      </c>
      <c r="DH584" s="399">
        <v>0</v>
      </c>
      <c r="DI584" s="399">
        <v>0</v>
      </c>
      <c r="DJ584" s="399"/>
      <c r="DK584" s="399">
        <v>0</v>
      </c>
      <c r="DL584" s="399">
        <v>0</v>
      </c>
      <c r="DM584" s="399"/>
      <c r="DN584" s="399">
        <v>0</v>
      </c>
      <c r="DO584" s="399">
        <v>0</v>
      </c>
      <c r="DP584" s="399">
        <v>0</v>
      </c>
      <c r="DQ584" s="399">
        <v>0</v>
      </c>
      <c r="DR584" s="399">
        <v>0</v>
      </c>
      <c r="DS584" s="399"/>
      <c r="DT584" s="399"/>
      <c r="DU584" s="399">
        <v>12610.790833901747</v>
      </c>
      <c r="DV584" s="399"/>
      <c r="DW584" s="399">
        <v>0</v>
      </c>
      <c r="DX584" s="399">
        <v>0</v>
      </c>
      <c r="DY584" s="399">
        <v>-5485.2200000000012</v>
      </c>
      <c r="DZ584" s="399"/>
      <c r="EA584" s="399">
        <v>0</v>
      </c>
      <c r="EB584" s="399"/>
      <c r="EC584" s="399">
        <v>-5448.1060893562908</v>
      </c>
      <c r="ED584" s="399"/>
      <c r="EE584" s="399">
        <v>0</v>
      </c>
      <c r="EF584" s="399">
        <v>0</v>
      </c>
      <c r="EG584" s="399"/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/>
      <c r="EN584" s="399"/>
      <c r="EO584" s="399">
        <v>0</v>
      </c>
      <c r="EP584" s="399">
        <v>0</v>
      </c>
      <c r="EQ584" s="399"/>
      <c r="ER584" s="399">
        <v>0</v>
      </c>
      <c r="ES584" s="399"/>
      <c r="ET584" s="399">
        <v>0</v>
      </c>
      <c r="EU584" s="399"/>
      <c r="EV584" s="399">
        <v>218</v>
      </c>
      <c r="EW584" s="399"/>
      <c r="EX584" s="399"/>
      <c r="EY584" s="399"/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589</v>
      </c>
      <c r="B585" s="399" t="s">
        <v>956</v>
      </c>
      <c r="C585" s="399" t="s">
        <v>2328</v>
      </c>
      <c r="D585" s="399" t="s">
        <v>1826</v>
      </c>
      <c r="E585" s="399" t="s">
        <v>918</v>
      </c>
      <c r="F585" s="399" t="s">
        <v>1239</v>
      </c>
      <c r="G585" s="399" t="s">
        <v>1239</v>
      </c>
      <c r="H585" s="399" t="s">
        <v>1239</v>
      </c>
      <c r="I585" s="399" t="s">
        <v>1239</v>
      </c>
      <c r="J585" s="399" t="s">
        <v>2329</v>
      </c>
      <c r="K585" s="789">
        <v>44774</v>
      </c>
      <c r="L585" s="399">
        <v>0</v>
      </c>
      <c r="M585" s="399">
        <v>0</v>
      </c>
      <c r="N585" s="399">
        <v>195.05099999999999</v>
      </c>
      <c r="O585" s="399">
        <v>195.05099999999999</v>
      </c>
      <c r="P585" s="399">
        <v>195.05099999999999</v>
      </c>
      <c r="Q585" s="399">
        <v>195.05099999999999</v>
      </c>
      <c r="R585" s="399"/>
      <c r="S585" s="399">
        <v>521.86</v>
      </c>
      <c r="T585" s="399">
        <v>141.32</v>
      </c>
      <c r="U585" s="399"/>
      <c r="V585" s="399">
        <v>129353.92217999999</v>
      </c>
      <c r="W585" s="399">
        <v>129353.92217999999</v>
      </c>
      <c r="X585" s="399">
        <v>101100.78482999999</v>
      </c>
      <c r="Y585" s="399">
        <v>0</v>
      </c>
      <c r="Z585" s="399">
        <v>11835.11781540433</v>
      </c>
      <c r="AA585" s="399">
        <v>0</v>
      </c>
      <c r="AB585" s="399">
        <v>0</v>
      </c>
      <c r="AC585" s="399">
        <v>0</v>
      </c>
      <c r="AD585" s="399">
        <v>20978.476677447914</v>
      </c>
      <c r="AE585" s="399">
        <v>63381.977487855562</v>
      </c>
      <c r="AF585" s="399">
        <v>27564.398621668901</v>
      </c>
      <c r="AG585" s="399">
        <v>0</v>
      </c>
      <c r="AH585" s="399">
        <v>0</v>
      </c>
      <c r="AI585" s="399">
        <v>0</v>
      </c>
      <c r="AJ585" s="399">
        <v>0</v>
      </c>
      <c r="AK585" s="399">
        <v>0</v>
      </c>
      <c r="AL585" s="399">
        <v>1829.9669896593923</v>
      </c>
      <c r="AM585" s="399"/>
      <c r="AN585" s="399">
        <v>270.5097334786285</v>
      </c>
      <c r="AO585" s="399">
        <v>0</v>
      </c>
      <c r="AP585" s="399">
        <v>0</v>
      </c>
      <c r="AQ585" s="399">
        <v>0</v>
      </c>
      <c r="AR585" s="399">
        <v>0</v>
      </c>
      <c r="AS585" s="399">
        <v>0</v>
      </c>
      <c r="AT585" s="399">
        <v>0</v>
      </c>
      <c r="AU585" s="399">
        <v>0</v>
      </c>
      <c r="AV585" s="399">
        <v>0</v>
      </c>
      <c r="AW585" s="399">
        <v>0</v>
      </c>
      <c r="AX585" s="399">
        <v>0</v>
      </c>
      <c r="AY585" s="399">
        <v>0</v>
      </c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>
        <v>0</v>
      </c>
      <c r="BG585" s="399">
        <v>3492.3682619429169</v>
      </c>
      <c r="BH585" s="399">
        <v>0</v>
      </c>
      <c r="BI585" s="399">
        <v>681.26</v>
      </c>
      <c r="BJ585" s="399">
        <v>3148.74</v>
      </c>
      <c r="BK585" s="399">
        <v>21161.96</v>
      </c>
      <c r="BL585" s="399">
        <v>588</v>
      </c>
      <c r="BM585" s="399"/>
      <c r="BN585" s="399"/>
      <c r="BO585" s="399"/>
      <c r="BP585" s="399"/>
      <c r="BQ585" s="399"/>
      <c r="BR585" s="399"/>
      <c r="BS585" s="399"/>
      <c r="BT585" s="399"/>
      <c r="BU585" s="399"/>
      <c r="BV585" s="399">
        <v>31056.766883611817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101100.2665</v>
      </c>
      <c r="CJ585" s="399">
        <v>-28253.68567999998</v>
      </c>
      <c r="CK585" s="399"/>
      <c r="CL585" s="399"/>
      <c r="CM585" s="399"/>
      <c r="CN585" s="399"/>
      <c r="CO585" s="399">
        <v>-28253.137350000001</v>
      </c>
      <c r="CP585" s="399">
        <v>0</v>
      </c>
      <c r="CQ585" s="399">
        <v>31</v>
      </c>
      <c r="CR585" s="399">
        <v>-869.09602766123862</v>
      </c>
      <c r="CS585" s="399">
        <v>0</v>
      </c>
      <c r="CT585" s="399">
        <v>0</v>
      </c>
      <c r="CU585" s="399">
        <v>0</v>
      </c>
      <c r="CV585" s="399">
        <v>0</v>
      </c>
      <c r="CW585" s="399">
        <v>0</v>
      </c>
      <c r="CX585" s="399">
        <v>0</v>
      </c>
      <c r="CY585" s="399">
        <v>0</v>
      </c>
      <c r="CZ585" s="399">
        <v>-99.914256989151909</v>
      </c>
      <c r="DA585" s="399">
        <v>0</v>
      </c>
      <c r="DB585" s="399">
        <v>0</v>
      </c>
      <c r="DC585" s="399">
        <v>0</v>
      </c>
      <c r="DD585" s="399">
        <v>0</v>
      </c>
      <c r="DE585" s="399">
        <v>0</v>
      </c>
      <c r="DF585" s="399">
        <v>0</v>
      </c>
      <c r="DG585" s="399">
        <v>0</v>
      </c>
      <c r="DH585" s="399">
        <v>0</v>
      </c>
      <c r="DI585" s="399">
        <v>-666.83387008712634</v>
      </c>
      <c r="DJ585" s="399"/>
      <c r="DK585" s="399">
        <v>0</v>
      </c>
      <c r="DL585" s="399">
        <v>0</v>
      </c>
      <c r="DM585" s="399">
        <v>0</v>
      </c>
      <c r="DN585" s="399">
        <v>0</v>
      </c>
      <c r="DO585" s="399">
        <v>-91.440160970462557</v>
      </c>
      <c r="DP585" s="399">
        <v>-10.907739614496165</v>
      </c>
      <c r="DQ585" s="399">
        <v>0</v>
      </c>
      <c r="DR585" s="399">
        <v>0</v>
      </c>
      <c r="DS585" s="399"/>
      <c r="DT585" s="399"/>
      <c r="DU585" s="399"/>
      <c r="DV585" s="399">
        <v>63381.977487855562</v>
      </c>
      <c r="DW585" s="399">
        <v>0</v>
      </c>
      <c r="DX585" s="399">
        <v>0</v>
      </c>
      <c r="DY585" s="399">
        <v>-28253.137350000005</v>
      </c>
      <c r="DZ585" s="399">
        <v>0</v>
      </c>
      <c r="EA585" s="399">
        <v>0</v>
      </c>
      <c r="EB585" s="399">
        <v>0</v>
      </c>
      <c r="EC585" s="399">
        <v>-27382.242878751327</v>
      </c>
      <c r="ED585" s="399">
        <v>0</v>
      </c>
      <c r="EE585" s="399">
        <v>0</v>
      </c>
      <c r="EF585" s="399">
        <v>0</v>
      </c>
      <c r="EG585" s="399">
        <v>0</v>
      </c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>
        <v>0</v>
      </c>
      <c r="EN585" s="399">
        <v>0</v>
      </c>
      <c r="EO585" s="399">
        <v>0</v>
      </c>
      <c r="EP585" s="399">
        <v>0</v>
      </c>
      <c r="EQ585" s="399">
        <v>0</v>
      </c>
      <c r="ER585" s="399">
        <v>0</v>
      </c>
      <c r="ES585" s="399">
        <v>0</v>
      </c>
      <c r="ET585" s="399">
        <v>0</v>
      </c>
      <c r="EU585" s="399">
        <v>0</v>
      </c>
      <c r="EV585" s="399">
        <v>218</v>
      </c>
      <c r="EW585" s="399">
        <v>0</v>
      </c>
      <c r="EX585" s="399">
        <v>0</v>
      </c>
      <c r="EY585" s="399">
        <v>0</v>
      </c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590</v>
      </c>
      <c r="B586" s="399" t="s">
        <v>2361</v>
      </c>
      <c r="C586" s="399" t="s">
        <v>2328</v>
      </c>
      <c r="D586" s="399" t="s">
        <v>1826</v>
      </c>
      <c r="E586" s="399" t="s">
        <v>918</v>
      </c>
      <c r="F586" s="399" t="s">
        <v>1239</v>
      </c>
      <c r="G586" s="399" t="s">
        <v>1239</v>
      </c>
      <c r="H586" s="399" t="s">
        <v>1239</v>
      </c>
      <c r="I586" s="399" t="s">
        <v>1239</v>
      </c>
      <c r="J586" s="399" t="s">
        <v>2329</v>
      </c>
      <c r="K586" s="789">
        <v>44774</v>
      </c>
      <c r="L586" s="399">
        <v>0</v>
      </c>
      <c r="M586" s="399">
        <v>0</v>
      </c>
      <c r="N586" s="399">
        <v>10.855</v>
      </c>
      <c r="O586" s="399">
        <v>10.855</v>
      </c>
      <c r="P586" s="399">
        <v>10.855</v>
      </c>
      <c r="Q586" s="399">
        <v>10.855</v>
      </c>
      <c r="R586" s="399"/>
      <c r="S586" s="399">
        <v>521.86</v>
      </c>
      <c r="T586" s="399">
        <v>141.32</v>
      </c>
      <c r="U586" s="399"/>
      <c r="V586" s="399">
        <v>7198.8189000000002</v>
      </c>
      <c r="W586" s="399">
        <v>7198.8189000000002</v>
      </c>
      <c r="X586" s="399">
        <v>5626.4721499999996</v>
      </c>
      <c r="Y586" s="399">
        <v>0</v>
      </c>
      <c r="Z586" s="399">
        <v>658.64929626720198</v>
      </c>
      <c r="AA586" s="399">
        <v>0</v>
      </c>
      <c r="AB586" s="399">
        <v>0</v>
      </c>
      <c r="AC586" s="399">
        <v>0</v>
      </c>
      <c r="AD586" s="399">
        <v>1167.4965231334222</v>
      </c>
      <c r="AE586" s="399">
        <v>3527.3408781840244</v>
      </c>
      <c r="AF586" s="399">
        <v>1534.0169854972082</v>
      </c>
      <c r="AG586" s="399">
        <v>0</v>
      </c>
      <c r="AH586" s="399">
        <v>0</v>
      </c>
      <c r="AI586" s="399">
        <v>0</v>
      </c>
      <c r="AJ586" s="399">
        <v>0</v>
      </c>
      <c r="AK586" s="399">
        <v>0</v>
      </c>
      <c r="AL586" s="399">
        <v>101.84152694809411</v>
      </c>
      <c r="AM586" s="399"/>
      <c r="AN586" s="399">
        <v>15.054437849129267</v>
      </c>
      <c r="AO586" s="399">
        <v>0</v>
      </c>
      <c r="AP586" s="399">
        <v>0</v>
      </c>
      <c r="AQ586" s="399">
        <v>0</v>
      </c>
      <c r="AR586" s="399">
        <v>0</v>
      </c>
      <c r="AS586" s="399">
        <v>0</v>
      </c>
      <c r="AT586" s="399">
        <v>0</v>
      </c>
      <c r="AU586" s="399">
        <v>0</v>
      </c>
      <c r="AV586" s="399">
        <v>0</v>
      </c>
      <c r="AW586" s="399">
        <v>0</v>
      </c>
      <c r="AX586" s="399">
        <v>0</v>
      </c>
      <c r="AY586" s="399">
        <v>0</v>
      </c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>
        <v>0</v>
      </c>
      <c r="BG586" s="399">
        <v>194.35766790936918</v>
      </c>
      <c r="BH586" s="399">
        <v>0</v>
      </c>
      <c r="BI586" s="399">
        <v>37.92</v>
      </c>
      <c r="BJ586" s="399">
        <v>175.16</v>
      </c>
      <c r="BK586" s="399">
        <v>3895.19</v>
      </c>
      <c r="BL586" s="399">
        <v>36</v>
      </c>
      <c r="BM586" s="399"/>
      <c r="BN586" s="399"/>
      <c r="BO586" s="399"/>
      <c r="BP586" s="399"/>
      <c r="BQ586" s="399"/>
      <c r="BR586" s="399"/>
      <c r="BS586" s="399"/>
      <c r="BT586" s="399"/>
      <c r="BU586" s="399"/>
      <c r="BV586" s="399">
        <v>1728.3746534065774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5629.0637999999999</v>
      </c>
      <c r="CJ586" s="399">
        <v>-1569.785100000001</v>
      </c>
      <c r="CK586" s="399"/>
      <c r="CL586" s="399"/>
      <c r="CM586" s="399"/>
      <c r="CN586" s="399"/>
      <c r="CO586" s="399">
        <v>-1572.3467500000004</v>
      </c>
      <c r="CP586" s="399">
        <v>0</v>
      </c>
      <c r="CQ586" s="399">
        <v>31</v>
      </c>
      <c r="CR586" s="399">
        <v>-48.36702903477908</v>
      </c>
      <c r="CS586" s="399">
        <v>0</v>
      </c>
      <c r="CT586" s="399">
        <v>0</v>
      </c>
      <c r="CU586" s="399">
        <v>0</v>
      </c>
      <c r="CV586" s="399">
        <v>0</v>
      </c>
      <c r="CW586" s="399">
        <v>0</v>
      </c>
      <c r="CX586" s="399">
        <v>0</v>
      </c>
      <c r="CY586" s="399">
        <v>0</v>
      </c>
      <c r="CZ586" s="399">
        <v>-5.5604393703044934</v>
      </c>
      <c r="DA586" s="399">
        <v>0</v>
      </c>
      <c r="DB586" s="399">
        <v>0</v>
      </c>
      <c r="DC586" s="399">
        <v>0</v>
      </c>
      <c r="DD586" s="399">
        <v>0</v>
      </c>
      <c r="DE586" s="399">
        <v>0</v>
      </c>
      <c r="DF586" s="399">
        <v>0</v>
      </c>
      <c r="DG586" s="399">
        <v>0</v>
      </c>
      <c r="DH586" s="399">
        <v>0</v>
      </c>
      <c r="DI586" s="399">
        <v>-37.110712889427646</v>
      </c>
      <c r="DJ586" s="399"/>
      <c r="DK586" s="399">
        <v>0</v>
      </c>
      <c r="DL586" s="399">
        <v>0</v>
      </c>
      <c r="DM586" s="399">
        <v>0</v>
      </c>
      <c r="DN586" s="399">
        <v>0</v>
      </c>
      <c r="DO586" s="399">
        <v>-5.0888380338187034</v>
      </c>
      <c r="DP586" s="399">
        <v>-0.60703874122847523</v>
      </c>
      <c r="DQ586" s="399">
        <v>0</v>
      </c>
      <c r="DR586" s="399">
        <v>0</v>
      </c>
      <c r="DS586" s="399"/>
      <c r="DT586" s="399"/>
      <c r="DU586" s="399"/>
      <c r="DV586" s="399">
        <v>3527.3408781840244</v>
      </c>
      <c r="DW586" s="399">
        <v>0</v>
      </c>
      <c r="DX586" s="399">
        <v>0</v>
      </c>
      <c r="DY586" s="399">
        <v>-1572.3467500000006</v>
      </c>
      <c r="DZ586" s="399">
        <v>0</v>
      </c>
      <c r="EA586" s="399">
        <v>0</v>
      </c>
      <c r="EB586" s="399">
        <v>0</v>
      </c>
      <c r="EC586" s="399">
        <v>-1523.879633782168</v>
      </c>
      <c r="ED586" s="399">
        <v>0</v>
      </c>
      <c r="EE586" s="399">
        <v>0</v>
      </c>
      <c r="EF586" s="399">
        <v>0</v>
      </c>
      <c r="EG586" s="399">
        <v>0</v>
      </c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>
        <v>0</v>
      </c>
      <c r="EN586" s="399">
        <v>0</v>
      </c>
      <c r="EO586" s="399">
        <v>0</v>
      </c>
      <c r="EP586" s="399">
        <v>0</v>
      </c>
      <c r="EQ586" s="399">
        <v>0</v>
      </c>
      <c r="ER586" s="399">
        <v>0</v>
      </c>
      <c r="ES586" s="399">
        <v>0</v>
      </c>
      <c r="ET586" s="399">
        <v>0</v>
      </c>
      <c r="EU586" s="399">
        <v>0</v>
      </c>
      <c r="EV586" s="399">
        <v>218</v>
      </c>
      <c r="EW586" s="399">
        <v>0</v>
      </c>
      <c r="EX586" s="399">
        <v>0</v>
      </c>
      <c r="EY586" s="399">
        <v>0</v>
      </c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591</v>
      </c>
      <c r="B587" s="399" t="s">
        <v>2361</v>
      </c>
      <c r="C587" s="399" t="s">
        <v>2328</v>
      </c>
      <c r="D587" s="399" t="s">
        <v>1826</v>
      </c>
      <c r="E587" s="399" t="s">
        <v>918</v>
      </c>
      <c r="F587" s="399" t="s">
        <v>1239</v>
      </c>
      <c r="G587" s="399" t="s">
        <v>1239</v>
      </c>
      <c r="H587" s="399" t="s">
        <v>1239</v>
      </c>
      <c r="I587" s="399" t="s">
        <v>1239</v>
      </c>
      <c r="J587" s="399" t="s">
        <v>2329</v>
      </c>
      <c r="K587" s="789">
        <v>44774</v>
      </c>
      <c r="L587" s="399">
        <v>0</v>
      </c>
      <c r="M587" s="399">
        <v>0</v>
      </c>
      <c r="N587" s="399">
        <v>0.1</v>
      </c>
      <c r="O587" s="399">
        <v>0.1</v>
      </c>
      <c r="P587" s="399">
        <v>0.1</v>
      </c>
      <c r="Q587" s="399">
        <v>0.1</v>
      </c>
      <c r="R587" s="399"/>
      <c r="S587" s="399">
        <v>521.86</v>
      </c>
      <c r="T587" s="399">
        <v>141.32</v>
      </c>
      <c r="U587" s="399"/>
      <c r="V587" s="399">
        <v>66.318000000000012</v>
      </c>
      <c r="W587" s="399">
        <v>66.318000000000012</v>
      </c>
      <c r="X587" s="399">
        <v>51.832999999999998</v>
      </c>
      <c r="Y587" s="399">
        <v>0</v>
      </c>
      <c r="Z587" s="399">
        <v>6.0677042493523903</v>
      </c>
      <c r="AA587" s="399">
        <v>0</v>
      </c>
      <c r="AB587" s="399">
        <v>0</v>
      </c>
      <c r="AC587" s="399">
        <v>0</v>
      </c>
      <c r="AD587" s="399">
        <v>10.7553802223254</v>
      </c>
      <c r="AE587" s="399">
        <v>32.495079485804006</v>
      </c>
      <c r="AF587" s="399">
        <v>14.131893003198602</v>
      </c>
      <c r="AG587" s="399">
        <v>0</v>
      </c>
      <c r="AH587" s="399">
        <v>0</v>
      </c>
      <c r="AI587" s="399">
        <v>0</v>
      </c>
      <c r="AJ587" s="399">
        <v>0</v>
      </c>
      <c r="AK587" s="399">
        <v>0</v>
      </c>
      <c r="AL587" s="399">
        <v>0.93819923489722812</v>
      </c>
      <c r="AM587" s="399"/>
      <c r="AN587" s="399">
        <v>0.13868666834757501</v>
      </c>
      <c r="AO587" s="399">
        <v>0</v>
      </c>
      <c r="AP587" s="399">
        <v>0</v>
      </c>
      <c r="AQ587" s="399">
        <v>0</v>
      </c>
      <c r="AR587" s="399">
        <v>0</v>
      </c>
      <c r="AS587" s="399">
        <v>0</v>
      </c>
      <c r="AT587" s="399">
        <v>0</v>
      </c>
      <c r="AU587" s="399">
        <v>0</v>
      </c>
      <c r="AV587" s="399">
        <v>0</v>
      </c>
      <c r="AW587" s="399">
        <v>0</v>
      </c>
      <c r="AX587" s="399">
        <v>0</v>
      </c>
      <c r="AY587" s="399">
        <v>0</v>
      </c>
      <c r="AZ587" s="399">
        <v>0</v>
      </c>
      <c r="BA587" s="399"/>
      <c r="BB587" s="399">
        <v>0</v>
      </c>
      <c r="BC587" s="399">
        <v>0</v>
      </c>
      <c r="BD587" s="399">
        <v>0</v>
      </c>
      <c r="BE587" s="399">
        <v>0</v>
      </c>
      <c r="BF587" s="399">
        <v>0</v>
      </c>
      <c r="BG587" s="399">
        <v>1.7904898010996702</v>
      </c>
      <c r="BH587" s="399">
        <v>0</v>
      </c>
      <c r="BI587" s="399">
        <v>0.34</v>
      </c>
      <c r="BJ587" s="399">
        <v>1.62</v>
      </c>
      <c r="BK587" s="399">
        <v>11.01</v>
      </c>
      <c r="BL587" s="399">
        <v>1</v>
      </c>
      <c r="BM587" s="399"/>
      <c r="BN587" s="399"/>
      <c r="BO587" s="399"/>
      <c r="BP587" s="399"/>
      <c r="BQ587" s="399"/>
      <c r="BR587" s="399"/>
      <c r="BS587" s="399"/>
      <c r="BT587" s="399"/>
      <c r="BU587" s="399"/>
      <c r="BV587" s="399">
        <v>15.922382804298273</v>
      </c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>
        <v>51.832999999999998</v>
      </c>
      <c r="CJ587" s="399">
        <v>-14.515000000000015</v>
      </c>
      <c r="CK587" s="399"/>
      <c r="CL587" s="399"/>
      <c r="CM587" s="399"/>
      <c r="CN587" s="399"/>
      <c r="CO587" s="399">
        <v>-14.485000000000003</v>
      </c>
      <c r="CP587" s="399">
        <v>0</v>
      </c>
      <c r="CQ587" s="399">
        <v>31</v>
      </c>
      <c r="CR587" s="399">
        <v>-0.44557373592610361</v>
      </c>
      <c r="CS587" s="399">
        <v>0</v>
      </c>
      <c r="CT587" s="399">
        <v>0</v>
      </c>
      <c r="CU587" s="399">
        <v>0</v>
      </c>
      <c r="CV587" s="399">
        <v>0</v>
      </c>
      <c r="CW587" s="399">
        <v>0</v>
      </c>
      <c r="CX587" s="399">
        <v>0</v>
      </c>
      <c r="CY587" s="399">
        <v>0</v>
      </c>
      <c r="CZ587" s="399">
        <v>-5.1224683282399042E-2</v>
      </c>
      <c r="DA587" s="399">
        <v>0</v>
      </c>
      <c r="DB587" s="399">
        <v>0</v>
      </c>
      <c r="DC587" s="399">
        <v>0</v>
      </c>
      <c r="DD587" s="399">
        <v>0</v>
      </c>
      <c r="DE587" s="399">
        <v>0</v>
      </c>
      <c r="DF587" s="399">
        <v>0</v>
      </c>
      <c r="DG587" s="399">
        <v>0</v>
      </c>
      <c r="DH587" s="399">
        <v>0</v>
      </c>
      <c r="DI587" s="399">
        <v>-0.34187667332498961</v>
      </c>
      <c r="DJ587" s="399"/>
      <c r="DK587" s="399">
        <v>0</v>
      </c>
      <c r="DL587" s="399">
        <v>0</v>
      </c>
      <c r="DM587" s="399">
        <v>0</v>
      </c>
      <c r="DN587" s="399">
        <v>0</v>
      </c>
      <c r="DO587" s="399">
        <v>-4.6880129284373018E-2</v>
      </c>
      <c r="DP587" s="399">
        <v>-5.5922500343480175E-3</v>
      </c>
      <c r="DQ587" s="399">
        <v>0</v>
      </c>
      <c r="DR587" s="399">
        <v>0</v>
      </c>
      <c r="DS587" s="399"/>
      <c r="DT587" s="399"/>
      <c r="DU587" s="399"/>
      <c r="DV587" s="399">
        <v>32.495079485804006</v>
      </c>
      <c r="DW587" s="399">
        <v>0</v>
      </c>
      <c r="DX587" s="399">
        <v>0</v>
      </c>
      <c r="DY587" s="399">
        <v>-14.485000000000007</v>
      </c>
      <c r="DZ587" s="399">
        <v>0</v>
      </c>
      <c r="EA587" s="399">
        <v>0</v>
      </c>
      <c r="EB587" s="399">
        <v>0</v>
      </c>
      <c r="EC587" s="399">
        <v>-14.038504226459406</v>
      </c>
      <c r="ED587" s="399">
        <v>0</v>
      </c>
      <c r="EE587" s="399">
        <v>0</v>
      </c>
      <c r="EF587" s="399">
        <v>0</v>
      </c>
      <c r="EG587" s="399">
        <v>0</v>
      </c>
      <c r="EH587" s="399">
        <v>0</v>
      </c>
      <c r="EI587" s="399">
        <v>0</v>
      </c>
      <c r="EJ587" s="399">
        <v>0</v>
      </c>
      <c r="EK587" s="399">
        <v>0</v>
      </c>
      <c r="EL587" s="399">
        <v>0</v>
      </c>
      <c r="EM587" s="399">
        <v>0</v>
      </c>
      <c r="EN587" s="399">
        <v>0</v>
      </c>
      <c r="EO587" s="399">
        <v>0</v>
      </c>
      <c r="EP587" s="399">
        <v>0</v>
      </c>
      <c r="EQ587" s="399">
        <v>0</v>
      </c>
      <c r="ER587" s="399">
        <v>0</v>
      </c>
      <c r="ES587" s="399">
        <v>0</v>
      </c>
      <c r="ET587" s="399">
        <v>0</v>
      </c>
      <c r="EU587" s="399">
        <v>0</v>
      </c>
      <c r="EV587" s="399">
        <v>218</v>
      </c>
      <c r="EW587" s="399">
        <v>0</v>
      </c>
      <c r="EX587" s="399">
        <v>0</v>
      </c>
      <c r="EY587" s="399">
        <v>0</v>
      </c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592</v>
      </c>
      <c r="B588" s="399" t="s">
        <v>956</v>
      </c>
      <c r="C588" s="399" t="s">
        <v>2334</v>
      </c>
      <c r="D588" s="399" t="s">
        <v>533</v>
      </c>
      <c r="E588" s="399" t="s">
        <v>918</v>
      </c>
      <c r="F588" s="399" t="s">
        <v>1239</v>
      </c>
      <c r="G588" s="399" t="s">
        <v>1239</v>
      </c>
      <c r="H588" s="399" t="s">
        <v>1239</v>
      </c>
      <c r="I588" s="399" t="s">
        <v>893</v>
      </c>
      <c r="J588" s="399" t="s">
        <v>2329</v>
      </c>
      <c r="K588" s="789">
        <v>44774</v>
      </c>
      <c r="L588" s="399">
        <v>0</v>
      </c>
      <c r="M588" s="399">
        <v>0</v>
      </c>
      <c r="N588" s="399">
        <v>2.2269999999999999</v>
      </c>
      <c r="O588" s="399">
        <v>2.2269999999999999</v>
      </c>
      <c r="P588" s="399">
        <v>2.2269999999999999</v>
      </c>
      <c r="Q588" s="399">
        <v>2.2269999999999999</v>
      </c>
      <c r="R588" s="399"/>
      <c r="S588" s="399">
        <v>2741.05</v>
      </c>
      <c r="T588" s="399">
        <v>141.32</v>
      </c>
      <c r="U588" s="399"/>
      <c r="V588" s="399">
        <v>6419.0379900000007</v>
      </c>
      <c r="W588" s="399">
        <v>6419.0379900000007</v>
      </c>
      <c r="X588" s="399">
        <v>4596.2607600000001</v>
      </c>
      <c r="Y588" s="399">
        <v>0</v>
      </c>
      <c r="Z588" s="399">
        <v>117.56116306077763</v>
      </c>
      <c r="AA588" s="399">
        <v>0</v>
      </c>
      <c r="AB588" s="399">
        <v>0</v>
      </c>
      <c r="AC588" s="399">
        <v>0</v>
      </c>
      <c r="AD588" s="399">
        <v>1767.261414018087</v>
      </c>
      <c r="AE588" s="399">
        <v>4181.8800561458365</v>
      </c>
      <c r="AF588" s="399">
        <v>314.71725718123281</v>
      </c>
      <c r="AG588" s="399">
        <v>0</v>
      </c>
      <c r="AH588" s="399">
        <v>0</v>
      </c>
      <c r="AI588" s="399">
        <v>0</v>
      </c>
      <c r="AJ588" s="399">
        <v>0</v>
      </c>
      <c r="AK588" s="399">
        <v>0</v>
      </c>
      <c r="AL588" s="399">
        <v>20.893696961161268</v>
      </c>
      <c r="AM588" s="399"/>
      <c r="AN588" s="399">
        <v>1.3378533524888143</v>
      </c>
      <c r="AO588" s="399">
        <v>0</v>
      </c>
      <c r="AP588" s="399">
        <v>0</v>
      </c>
      <c r="AQ588" s="399">
        <v>0</v>
      </c>
      <c r="AR588" s="399">
        <v>0</v>
      </c>
      <c r="AS588" s="399">
        <v>0</v>
      </c>
      <c r="AT588" s="399">
        <v>0</v>
      </c>
      <c r="AU588" s="399">
        <v>0</v>
      </c>
      <c r="AV588" s="399">
        <v>0</v>
      </c>
      <c r="AW588" s="399">
        <v>0</v>
      </c>
      <c r="AX588" s="399">
        <v>0</v>
      </c>
      <c r="AY588" s="399">
        <v>0</v>
      </c>
      <c r="AZ588" s="399">
        <v>0</v>
      </c>
      <c r="BA588" s="399"/>
      <c r="BB588" s="399">
        <v>0</v>
      </c>
      <c r="BC588" s="399">
        <v>0</v>
      </c>
      <c r="BD588" s="399">
        <v>0</v>
      </c>
      <c r="BE588" s="399">
        <v>0</v>
      </c>
      <c r="BF588" s="399">
        <v>0</v>
      </c>
      <c r="BG588" s="399">
        <v>15.395158412160971</v>
      </c>
      <c r="BH588" s="399">
        <v>0</v>
      </c>
      <c r="BI588" s="399">
        <v>0</v>
      </c>
      <c r="BJ588" s="399">
        <v>0</v>
      </c>
      <c r="BK588" s="399">
        <v>0</v>
      </c>
      <c r="BL588" s="399">
        <v>0</v>
      </c>
      <c r="BM588" s="399"/>
      <c r="BN588" s="399"/>
      <c r="BO588" s="399"/>
      <c r="BP588" s="399"/>
      <c r="BQ588" s="399"/>
      <c r="BR588" s="399"/>
      <c r="BS588" s="399"/>
      <c r="BT588" s="399"/>
      <c r="BU588" s="399"/>
      <c r="BV588" s="399">
        <v>330.11241559339379</v>
      </c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>
        <v>4602.4524000000001</v>
      </c>
      <c r="CJ588" s="399">
        <v>-1816.6155900000012</v>
      </c>
      <c r="CK588" s="399"/>
      <c r="CL588" s="399"/>
      <c r="CM588" s="399"/>
      <c r="CN588" s="399"/>
      <c r="CO588" s="399">
        <v>-1822.7772300000004</v>
      </c>
      <c r="CP588" s="399">
        <v>0</v>
      </c>
      <c r="CQ588" s="399">
        <v>31</v>
      </c>
      <c r="CR588" s="399">
        <v>-16.138734483774442</v>
      </c>
      <c r="CS588" s="399">
        <v>0</v>
      </c>
      <c r="CT588" s="399">
        <v>0</v>
      </c>
      <c r="CU588" s="399">
        <v>0</v>
      </c>
      <c r="CV588" s="399">
        <v>0</v>
      </c>
      <c r="CW588" s="399">
        <v>0</v>
      </c>
      <c r="CX588" s="399">
        <v>0</v>
      </c>
      <c r="CY588" s="399">
        <v>0</v>
      </c>
      <c r="CZ588" s="399">
        <v>-8.4169415063934139</v>
      </c>
      <c r="DA588" s="399">
        <v>0</v>
      </c>
      <c r="DB588" s="399">
        <v>0</v>
      </c>
      <c r="DC588" s="399">
        <v>0</v>
      </c>
      <c r="DD588" s="399">
        <v>0</v>
      </c>
      <c r="DE588" s="399">
        <v>0</v>
      </c>
      <c r="DF588" s="399">
        <v>0</v>
      </c>
      <c r="DG588" s="399">
        <v>0</v>
      </c>
      <c r="DH588" s="399">
        <v>0</v>
      </c>
      <c r="DI588" s="399">
        <v>-6.6238263580045498</v>
      </c>
      <c r="DJ588" s="399"/>
      <c r="DK588" s="399">
        <v>0</v>
      </c>
      <c r="DL588" s="399">
        <v>0</v>
      </c>
      <c r="DM588" s="399">
        <v>0</v>
      </c>
      <c r="DN588" s="399">
        <v>0</v>
      </c>
      <c r="DO588" s="399">
        <v>-1.0440204791629881</v>
      </c>
      <c r="DP588" s="399">
        <v>-5.3946140213410265E-2</v>
      </c>
      <c r="DQ588" s="399">
        <v>0</v>
      </c>
      <c r="DR588" s="399">
        <v>0</v>
      </c>
      <c r="DS588" s="399"/>
      <c r="DT588" s="399"/>
      <c r="DU588" s="399"/>
      <c r="DV588" s="399">
        <v>4181.8800561458365</v>
      </c>
      <c r="DW588" s="399">
        <v>0</v>
      </c>
      <c r="DX588" s="399">
        <v>0</v>
      </c>
      <c r="DY588" s="399">
        <v>-1822.7772300000006</v>
      </c>
      <c r="DZ588" s="399">
        <v>0</v>
      </c>
      <c r="EA588" s="399">
        <v>0</v>
      </c>
      <c r="EB588" s="399">
        <v>0</v>
      </c>
      <c r="EC588" s="399">
        <v>-1806.6532463290969</v>
      </c>
      <c r="ED588" s="399">
        <v>0</v>
      </c>
      <c r="EE588" s="399">
        <v>0</v>
      </c>
      <c r="EF588" s="399">
        <v>0</v>
      </c>
      <c r="EG588" s="399">
        <v>0</v>
      </c>
      <c r="EH588" s="399">
        <v>0</v>
      </c>
      <c r="EI588" s="399">
        <v>0</v>
      </c>
      <c r="EJ588" s="399">
        <v>0</v>
      </c>
      <c r="EK588" s="399">
        <v>0</v>
      </c>
      <c r="EL588" s="399">
        <v>0</v>
      </c>
      <c r="EM588" s="399">
        <v>0</v>
      </c>
      <c r="EN588" s="399">
        <v>0</v>
      </c>
      <c r="EO588" s="399">
        <v>0</v>
      </c>
      <c r="EP588" s="399">
        <v>0</v>
      </c>
      <c r="EQ588" s="399">
        <v>0</v>
      </c>
      <c r="ER588" s="399">
        <v>0</v>
      </c>
      <c r="ES588" s="399">
        <v>0</v>
      </c>
      <c r="ET588" s="399">
        <v>0</v>
      </c>
      <c r="EU588" s="399">
        <v>0</v>
      </c>
      <c r="EV588" s="399">
        <v>218</v>
      </c>
      <c r="EW588" s="399">
        <v>0</v>
      </c>
      <c r="EX588" s="399">
        <v>0</v>
      </c>
      <c r="EY588" s="399">
        <v>0</v>
      </c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593</v>
      </c>
      <c r="B589" s="399" t="s">
        <v>956</v>
      </c>
      <c r="C589" s="399" t="s">
        <v>2334</v>
      </c>
      <c r="D589" s="399" t="s">
        <v>533</v>
      </c>
      <c r="E589" s="399" t="s">
        <v>918</v>
      </c>
      <c r="F589" s="399" t="s">
        <v>1239</v>
      </c>
      <c r="G589" s="399" t="s">
        <v>1239</v>
      </c>
      <c r="H589" s="399" t="s">
        <v>1239</v>
      </c>
      <c r="I589" s="399" t="s">
        <v>2326</v>
      </c>
      <c r="J589" s="399" t="s">
        <v>2329</v>
      </c>
      <c r="K589" s="789">
        <v>44774</v>
      </c>
      <c r="L589" s="399">
        <v>0</v>
      </c>
      <c r="M589" s="399">
        <v>0</v>
      </c>
      <c r="N589" s="399">
        <v>33.491</v>
      </c>
      <c r="O589" s="399">
        <v>33.491</v>
      </c>
      <c r="P589" s="399">
        <v>33.491</v>
      </c>
      <c r="Q589" s="399">
        <v>33.491</v>
      </c>
      <c r="R589" s="399"/>
      <c r="S589" s="399">
        <v>69.680000000000007</v>
      </c>
      <c r="T589" s="399">
        <v>141.32</v>
      </c>
      <c r="U589" s="399"/>
      <c r="V589" s="399">
        <v>7066.6010000000006</v>
      </c>
      <c r="W589" s="399">
        <v>7066.6010000000006</v>
      </c>
      <c r="X589" s="399">
        <v>6950.7221399999999</v>
      </c>
      <c r="Y589" s="399">
        <v>0</v>
      </c>
      <c r="Z589" s="399">
        <v>1767.9573022310301</v>
      </c>
      <c r="AA589" s="399">
        <v>0</v>
      </c>
      <c r="AB589" s="399">
        <v>0</v>
      </c>
      <c r="AC589" s="399">
        <v>0</v>
      </c>
      <c r="AD589" s="399">
        <v>0</v>
      </c>
      <c r="AE589" s="399">
        <v>0</v>
      </c>
      <c r="AF589" s="399">
        <v>4732.9122857012435</v>
      </c>
      <c r="AG589" s="399">
        <v>0</v>
      </c>
      <c r="AH589" s="399">
        <v>0</v>
      </c>
      <c r="AI589" s="399">
        <v>0</v>
      </c>
      <c r="AJ589" s="399">
        <v>0</v>
      </c>
      <c r="AK589" s="399">
        <v>0</v>
      </c>
      <c r="AL589" s="399">
        <v>314.21230575943065</v>
      </c>
      <c r="AM589" s="399"/>
      <c r="AN589" s="399">
        <v>20.119464134801472</v>
      </c>
      <c r="AO589" s="399">
        <v>0</v>
      </c>
      <c r="AP589" s="399">
        <v>0</v>
      </c>
      <c r="AQ589" s="399">
        <v>0</v>
      </c>
      <c r="AR589" s="399">
        <v>0</v>
      </c>
      <c r="AS589" s="399">
        <v>0</v>
      </c>
      <c r="AT589" s="399">
        <v>0</v>
      </c>
      <c r="AU589" s="399">
        <v>0</v>
      </c>
      <c r="AV589" s="399">
        <v>0</v>
      </c>
      <c r="AW589" s="399">
        <v>0</v>
      </c>
      <c r="AX589" s="399">
        <v>0</v>
      </c>
      <c r="AY589" s="399">
        <v>0</v>
      </c>
      <c r="AZ589" s="399">
        <v>0</v>
      </c>
      <c r="BA589" s="399"/>
      <c r="BB589" s="399">
        <v>0</v>
      </c>
      <c r="BC589" s="399">
        <v>0</v>
      </c>
      <c r="BD589" s="399">
        <v>0</v>
      </c>
      <c r="BE589" s="399">
        <v>0</v>
      </c>
      <c r="BF589" s="399">
        <v>0</v>
      </c>
      <c r="BG589" s="399">
        <v>231.52189060695244</v>
      </c>
      <c r="BH589" s="399">
        <v>0</v>
      </c>
      <c r="BI589" s="399">
        <v>0</v>
      </c>
      <c r="BJ589" s="399">
        <v>0</v>
      </c>
      <c r="BK589" s="399">
        <v>0</v>
      </c>
      <c r="BL589" s="399">
        <v>0</v>
      </c>
      <c r="BM589" s="399"/>
      <c r="BN589" s="399"/>
      <c r="BO589" s="399"/>
      <c r="BP589" s="399"/>
      <c r="BQ589" s="399"/>
      <c r="BR589" s="399"/>
      <c r="BS589" s="399"/>
      <c r="BT589" s="399"/>
      <c r="BU589" s="399"/>
      <c r="BV589" s="399">
        <v>4964.4341763081957</v>
      </c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>
        <v>6950.5146000000004</v>
      </c>
      <c r="CJ589" s="399">
        <v>-116.11640000000079</v>
      </c>
      <c r="CK589" s="399"/>
      <c r="CL589" s="399"/>
      <c r="CM589" s="399"/>
      <c r="CN589" s="399"/>
      <c r="CO589" s="399">
        <v>-115.87886000000026</v>
      </c>
      <c r="CP589" s="399">
        <v>0</v>
      </c>
      <c r="CQ589" s="399">
        <v>31</v>
      </c>
      <c r="CR589" s="399">
        <v>-116.12508693554719</v>
      </c>
      <c r="CS589" s="399">
        <v>0</v>
      </c>
      <c r="CT589" s="399">
        <v>0</v>
      </c>
      <c r="CU589" s="399">
        <v>0</v>
      </c>
      <c r="CV589" s="399">
        <v>0</v>
      </c>
      <c r="CW589" s="399">
        <v>0</v>
      </c>
      <c r="CX589" s="399">
        <v>0</v>
      </c>
      <c r="CY589" s="399">
        <v>0</v>
      </c>
      <c r="CZ589" s="399">
        <v>0</v>
      </c>
      <c r="DA589" s="399">
        <v>0</v>
      </c>
      <c r="DB589" s="399">
        <v>0</v>
      </c>
      <c r="DC589" s="399">
        <v>0</v>
      </c>
      <c r="DD589" s="399">
        <v>0</v>
      </c>
      <c r="DE589" s="399">
        <v>0</v>
      </c>
      <c r="DF589" s="399">
        <v>0</v>
      </c>
      <c r="DG589" s="399">
        <v>0</v>
      </c>
      <c r="DH589" s="399">
        <v>0</v>
      </c>
      <c r="DI589" s="399">
        <v>-99.613187497050149</v>
      </c>
      <c r="DJ589" s="399"/>
      <c r="DK589" s="399">
        <v>0</v>
      </c>
      <c r="DL589" s="399">
        <v>0</v>
      </c>
      <c r="DM589" s="399">
        <v>0</v>
      </c>
      <c r="DN589" s="399">
        <v>0</v>
      </c>
      <c r="DO589" s="399">
        <v>-15.700624098629362</v>
      </c>
      <c r="DP589" s="399">
        <v>-0.81127533986857614</v>
      </c>
      <c r="DQ589" s="399">
        <v>0</v>
      </c>
      <c r="DR589" s="399">
        <v>0</v>
      </c>
      <c r="DS589" s="399"/>
      <c r="DT589" s="399"/>
      <c r="DU589" s="399"/>
      <c r="DV589" s="399">
        <v>0</v>
      </c>
      <c r="DW589" s="399">
        <v>0</v>
      </c>
      <c r="DX589" s="399">
        <v>0</v>
      </c>
      <c r="DY589" s="399">
        <v>-115.87886000000026</v>
      </c>
      <c r="DZ589" s="399">
        <v>0</v>
      </c>
      <c r="EA589" s="399">
        <v>0</v>
      </c>
      <c r="EB589" s="399">
        <v>0</v>
      </c>
      <c r="EC589" s="399">
        <v>0</v>
      </c>
      <c r="ED589" s="399">
        <v>0</v>
      </c>
      <c r="EE589" s="399">
        <v>0</v>
      </c>
      <c r="EF589" s="399">
        <v>0</v>
      </c>
      <c r="EG589" s="399">
        <v>0</v>
      </c>
      <c r="EH589" s="399">
        <v>0</v>
      </c>
      <c r="EI589" s="399">
        <v>0</v>
      </c>
      <c r="EJ589" s="399">
        <v>0</v>
      </c>
      <c r="EK589" s="399">
        <v>0</v>
      </c>
      <c r="EL589" s="399">
        <v>0</v>
      </c>
      <c r="EM589" s="399">
        <v>0</v>
      </c>
      <c r="EN589" s="399">
        <v>0</v>
      </c>
      <c r="EO589" s="399">
        <v>0</v>
      </c>
      <c r="EP589" s="399">
        <v>0</v>
      </c>
      <c r="EQ589" s="399">
        <v>0</v>
      </c>
      <c r="ER589" s="399">
        <v>0</v>
      </c>
      <c r="ES589" s="399">
        <v>0</v>
      </c>
      <c r="ET589" s="399">
        <v>0</v>
      </c>
      <c r="EU589" s="399">
        <v>0</v>
      </c>
      <c r="EV589" s="399">
        <v>218</v>
      </c>
      <c r="EW589" s="399">
        <v>0</v>
      </c>
      <c r="EX589" s="399">
        <v>0</v>
      </c>
      <c r="EY589" s="399">
        <v>0</v>
      </c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594</v>
      </c>
      <c r="B590" s="399" t="s">
        <v>956</v>
      </c>
      <c r="C590" s="399" t="s">
        <v>2334</v>
      </c>
      <c r="D590" s="399" t="s">
        <v>533</v>
      </c>
      <c r="E590" s="399" t="s">
        <v>918</v>
      </c>
      <c r="F590" s="399" t="s">
        <v>1239</v>
      </c>
      <c r="G590" s="399" t="s">
        <v>1239</v>
      </c>
      <c r="H590" s="399" t="s">
        <v>1239</v>
      </c>
      <c r="I590" s="399" t="s">
        <v>1239</v>
      </c>
      <c r="J590" s="399" t="s">
        <v>2329</v>
      </c>
      <c r="K590" s="789">
        <v>44774</v>
      </c>
      <c r="L590" s="399">
        <v>356</v>
      </c>
      <c r="M590" s="399">
        <v>356</v>
      </c>
      <c r="N590" s="399">
        <v>0</v>
      </c>
      <c r="O590" s="399">
        <v>0</v>
      </c>
      <c r="P590" s="399">
        <v>0</v>
      </c>
      <c r="Q590" s="399">
        <v>0</v>
      </c>
      <c r="R590" s="399">
        <v>35.15</v>
      </c>
      <c r="S590" s="399"/>
      <c r="T590" s="399"/>
      <c r="U590" s="399">
        <v>12513.4</v>
      </c>
      <c r="V590" s="399"/>
      <c r="W590" s="399">
        <v>12513.4</v>
      </c>
      <c r="X590" s="399">
        <v>9134.9600000000009</v>
      </c>
      <c r="Y590" s="399">
        <v>0</v>
      </c>
      <c r="Z590" s="399">
        <v>0</v>
      </c>
      <c r="AA590" s="399">
        <v>0</v>
      </c>
      <c r="AB590" s="399">
        <v>0</v>
      </c>
      <c r="AC590" s="399">
        <v>0</v>
      </c>
      <c r="AD590" s="399">
        <v>4745.9688921388642</v>
      </c>
      <c r="AE590" s="399">
        <v>7767.1998907768548</v>
      </c>
      <c r="AF590" s="399"/>
      <c r="AG590" s="399"/>
      <c r="AH590" s="399"/>
      <c r="AI590" s="399">
        <v>0</v>
      </c>
      <c r="AJ590" s="399">
        <v>0</v>
      </c>
      <c r="AK590" s="399">
        <v>0</v>
      </c>
      <c r="AL590" s="399">
        <v>0</v>
      </c>
      <c r="AM590" s="399"/>
      <c r="AN590" s="399">
        <v>0</v>
      </c>
      <c r="AO590" s="399">
        <v>0</v>
      </c>
      <c r="AP590" s="399">
        <v>0</v>
      </c>
      <c r="AQ590" s="399">
        <v>0</v>
      </c>
      <c r="AR590" s="399">
        <v>0</v>
      </c>
      <c r="AS590" s="399"/>
      <c r="AT590" s="399"/>
      <c r="AU590" s="399">
        <v>0</v>
      </c>
      <c r="AV590" s="399">
        <v>0</v>
      </c>
      <c r="AW590" s="399">
        <v>0</v>
      </c>
      <c r="AX590" s="399"/>
      <c r="AY590" s="399"/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/>
      <c r="BG590" s="399">
        <v>0</v>
      </c>
      <c r="BH590" s="399">
        <v>0</v>
      </c>
      <c r="BI590" s="399">
        <v>156.15</v>
      </c>
      <c r="BJ590" s="399">
        <v>720.66</v>
      </c>
      <c r="BK590" s="399">
        <v>4892.91</v>
      </c>
      <c r="BL590" s="399">
        <v>3</v>
      </c>
      <c r="BM590" s="399"/>
      <c r="BN590" s="399"/>
      <c r="BO590" s="399"/>
      <c r="BP590" s="399"/>
      <c r="BQ590" s="399"/>
      <c r="BR590" s="399"/>
      <c r="BS590" s="399"/>
      <c r="BT590" s="399"/>
      <c r="BU590" s="399"/>
      <c r="BV590" s="399">
        <v>0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9134.9600000000009</v>
      </c>
      <c r="CJ590" s="399">
        <v>-3378.4699999999993</v>
      </c>
      <c r="CK590" s="399"/>
      <c r="CL590" s="399"/>
      <c r="CM590" s="399"/>
      <c r="CN590" s="399"/>
      <c r="CO590" s="399">
        <v>-3378.4399999999996</v>
      </c>
      <c r="CP590" s="399">
        <v>0</v>
      </c>
      <c r="CQ590" s="399">
        <v>31</v>
      </c>
      <c r="CR590" s="399">
        <v>-22.603641000353491</v>
      </c>
      <c r="CS590" s="399">
        <v>0</v>
      </c>
      <c r="CT590" s="399">
        <v>0</v>
      </c>
      <c r="CU590" s="399">
        <v>0</v>
      </c>
      <c r="CV590" s="399">
        <v>0</v>
      </c>
      <c r="CW590" s="399"/>
      <c r="CX590" s="399"/>
      <c r="CY590" s="399"/>
      <c r="CZ590" s="399">
        <v>-22.603641000353491</v>
      </c>
      <c r="DA590" s="399">
        <v>0</v>
      </c>
      <c r="DB590" s="399">
        <v>0</v>
      </c>
      <c r="DC590" s="399"/>
      <c r="DD590" s="399"/>
      <c r="DE590" s="399">
        <v>0</v>
      </c>
      <c r="DF590" s="399">
        <v>0</v>
      </c>
      <c r="DG590" s="399">
        <v>0</v>
      </c>
      <c r="DH590" s="399">
        <v>0</v>
      </c>
      <c r="DI590" s="399">
        <v>0</v>
      </c>
      <c r="DJ590" s="399"/>
      <c r="DK590" s="399">
        <v>0</v>
      </c>
      <c r="DL590" s="399">
        <v>0</v>
      </c>
      <c r="DM590" s="399"/>
      <c r="DN590" s="399">
        <v>0</v>
      </c>
      <c r="DO590" s="399">
        <v>0</v>
      </c>
      <c r="DP590" s="399">
        <v>0</v>
      </c>
      <c r="DQ590" s="399">
        <v>0</v>
      </c>
      <c r="DR590" s="399">
        <v>0</v>
      </c>
      <c r="DS590" s="399"/>
      <c r="DT590" s="399"/>
      <c r="DU590" s="399">
        <v>7767.1998907768548</v>
      </c>
      <c r="DV590" s="399"/>
      <c r="DW590" s="399">
        <v>0</v>
      </c>
      <c r="DX590" s="399">
        <v>0</v>
      </c>
      <c r="DY590" s="399">
        <v>-3378.4399999999987</v>
      </c>
      <c r="DZ590" s="399"/>
      <c r="EA590" s="399">
        <v>0</v>
      </c>
      <c r="EB590" s="399"/>
      <c r="EC590" s="399">
        <v>-3355.5809131675433</v>
      </c>
      <c r="ED590" s="399"/>
      <c r="EE590" s="399">
        <v>0</v>
      </c>
      <c r="EF590" s="399">
        <v>0</v>
      </c>
      <c r="EG590" s="399"/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/>
      <c r="EN590" s="399"/>
      <c r="EO590" s="399">
        <v>0</v>
      </c>
      <c r="EP590" s="399">
        <v>0</v>
      </c>
      <c r="EQ590" s="399"/>
      <c r="ER590" s="399">
        <v>0</v>
      </c>
      <c r="ES590" s="399"/>
      <c r="ET590" s="399">
        <v>0</v>
      </c>
      <c r="EU590" s="399"/>
      <c r="EV590" s="399">
        <v>218</v>
      </c>
      <c r="EW590" s="399"/>
      <c r="EX590" s="399"/>
      <c r="EY590" s="399"/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595</v>
      </c>
      <c r="B591" s="399" t="s">
        <v>956</v>
      </c>
      <c r="C591" s="399" t="s">
        <v>2328</v>
      </c>
      <c r="D591" s="399" t="s">
        <v>2335</v>
      </c>
      <c r="E591" s="399" t="s">
        <v>894</v>
      </c>
      <c r="F591" s="399" t="s">
        <v>1239</v>
      </c>
      <c r="G591" s="399" t="s">
        <v>1239</v>
      </c>
      <c r="H591" s="399" t="s">
        <v>1239</v>
      </c>
      <c r="I591" s="399" t="s">
        <v>1239</v>
      </c>
      <c r="J591" s="399" t="s">
        <v>2329</v>
      </c>
      <c r="K591" s="789">
        <v>44774</v>
      </c>
      <c r="L591" s="399">
        <v>0</v>
      </c>
      <c r="M591" s="399">
        <v>0</v>
      </c>
      <c r="N591" s="399">
        <v>2513.9899999999998</v>
      </c>
      <c r="O591" s="399">
        <v>2513.9899999999998</v>
      </c>
      <c r="P591" s="399">
        <v>2513.9899999999998</v>
      </c>
      <c r="Q591" s="399">
        <v>2513.9899999999998</v>
      </c>
      <c r="R591" s="399"/>
      <c r="S591" s="399">
        <v>521.86</v>
      </c>
      <c r="T591" s="399">
        <v>141.32</v>
      </c>
      <c r="U591" s="399"/>
      <c r="V591" s="399">
        <v>1667227.8881999999</v>
      </c>
      <c r="W591" s="399">
        <v>1667227.8881999999</v>
      </c>
      <c r="X591" s="399">
        <v>1303076.4367</v>
      </c>
      <c r="Y591" s="399">
        <v>0</v>
      </c>
      <c r="Z591" s="399">
        <v>152541.47805829413</v>
      </c>
      <c r="AA591" s="399">
        <v>0</v>
      </c>
      <c r="AB591" s="399">
        <v>0</v>
      </c>
      <c r="AC591" s="399">
        <v>0</v>
      </c>
      <c r="AD591" s="399">
        <v>270389.18325123831</v>
      </c>
      <c r="AE591" s="399">
        <v>816923.04876516399</v>
      </c>
      <c r="AF591" s="399">
        <v>355274.37691111251</v>
      </c>
      <c r="AG591" s="399">
        <v>0</v>
      </c>
      <c r="AH591" s="399">
        <v>0</v>
      </c>
      <c r="AI591" s="399">
        <v>0</v>
      </c>
      <c r="AJ591" s="399">
        <v>0</v>
      </c>
      <c r="AK591" s="399">
        <v>0</v>
      </c>
      <c r="AL591" s="399">
        <v>23586.234945392822</v>
      </c>
      <c r="AM591" s="399"/>
      <c r="AN591" s="399">
        <v>3486.5689735912001</v>
      </c>
      <c r="AO591" s="399">
        <v>0</v>
      </c>
      <c r="AP591" s="399">
        <v>0</v>
      </c>
      <c r="AQ591" s="399">
        <v>0</v>
      </c>
      <c r="AR591" s="399">
        <v>0</v>
      </c>
      <c r="AS591" s="399">
        <v>0</v>
      </c>
      <c r="AT591" s="399">
        <v>0</v>
      </c>
      <c r="AU591" s="399">
        <v>0</v>
      </c>
      <c r="AV591" s="399">
        <v>0</v>
      </c>
      <c r="AW591" s="399">
        <v>0</v>
      </c>
      <c r="AX591" s="399">
        <v>0</v>
      </c>
      <c r="AY591" s="399">
        <v>0</v>
      </c>
      <c r="AZ591" s="399">
        <v>0</v>
      </c>
      <c r="BA591" s="399"/>
      <c r="BB591" s="399">
        <v>0</v>
      </c>
      <c r="BC591" s="399">
        <v>0</v>
      </c>
      <c r="BD591" s="399">
        <v>0</v>
      </c>
      <c r="BE591" s="399">
        <v>0</v>
      </c>
      <c r="BF591" s="399">
        <v>0</v>
      </c>
      <c r="BG591" s="399">
        <v>45012.734550665591</v>
      </c>
      <c r="BH591" s="399">
        <v>0</v>
      </c>
      <c r="BI591" s="399">
        <v>8789.65</v>
      </c>
      <c r="BJ591" s="399">
        <v>40584.28</v>
      </c>
      <c r="BK591" s="399">
        <v>221564.15</v>
      </c>
      <c r="BL591" s="399">
        <v>5470</v>
      </c>
      <c r="BM591" s="399"/>
      <c r="BN591" s="399"/>
      <c r="BO591" s="399"/>
      <c r="BP591" s="399"/>
      <c r="BQ591" s="399"/>
      <c r="BR591" s="399">
        <v>156370.17799999999</v>
      </c>
      <c r="BS591" s="399"/>
      <c r="BT591" s="399"/>
      <c r="BU591" s="399"/>
      <c r="BV591" s="399">
        <v>400287.11146177811</v>
      </c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>
        <v>1146706.2586999999</v>
      </c>
      <c r="CJ591" s="399">
        <v>-320433.19540000008</v>
      </c>
      <c r="CK591" s="399"/>
      <c r="CL591" s="399"/>
      <c r="CM591" s="399"/>
      <c r="CN591" s="399"/>
      <c r="CO591" s="399">
        <v>-364151.45150000002</v>
      </c>
      <c r="CP591" s="399">
        <v>0</v>
      </c>
      <c r="CQ591" s="399">
        <v>31</v>
      </c>
      <c r="CR591" s="399">
        <v>-11201.679163808818</v>
      </c>
      <c r="CS591" s="399">
        <v>0</v>
      </c>
      <c r="CT591" s="399">
        <v>0</v>
      </c>
      <c r="CU591" s="399">
        <v>0</v>
      </c>
      <c r="CV591" s="399">
        <v>0</v>
      </c>
      <c r="CW591" s="399">
        <v>0</v>
      </c>
      <c r="CX591" s="399">
        <v>0</v>
      </c>
      <c r="CY591" s="399">
        <v>0</v>
      </c>
      <c r="CZ591" s="399">
        <v>-1287.7834152511787</v>
      </c>
      <c r="DA591" s="399">
        <v>0</v>
      </c>
      <c r="DB591" s="399">
        <v>0</v>
      </c>
      <c r="DC591" s="399">
        <v>0</v>
      </c>
      <c r="DD591" s="399">
        <v>0</v>
      </c>
      <c r="DE591" s="399">
        <v>0</v>
      </c>
      <c r="DF591" s="399">
        <v>0</v>
      </c>
      <c r="DG591" s="399">
        <v>0</v>
      </c>
      <c r="DH591" s="399">
        <v>0</v>
      </c>
      <c r="DI591" s="399">
        <v>-8594.74537972291</v>
      </c>
      <c r="DJ591" s="399"/>
      <c r="DK591" s="399">
        <v>0</v>
      </c>
      <c r="DL591" s="399">
        <v>0</v>
      </c>
      <c r="DM591" s="399">
        <v>0</v>
      </c>
      <c r="DN591" s="399">
        <v>0</v>
      </c>
      <c r="DO591" s="399">
        <v>-1178.5617621962083</v>
      </c>
      <c r="DP591" s="399">
        <v>-140.5886066385051</v>
      </c>
      <c r="DQ591" s="399">
        <v>0</v>
      </c>
      <c r="DR591" s="399">
        <v>0</v>
      </c>
      <c r="DS591" s="399"/>
      <c r="DT591" s="399"/>
      <c r="DU591" s="399"/>
      <c r="DV591" s="399">
        <v>816923.04876516399</v>
      </c>
      <c r="DW591" s="399">
        <v>0</v>
      </c>
      <c r="DX591" s="399">
        <v>0</v>
      </c>
      <c r="DY591" s="399">
        <v>-364151.45150000008</v>
      </c>
      <c r="DZ591" s="399">
        <v>0</v>
      </c>
      <c r="EA591" s="399">
        <v>0</v>
      </c>
      <c r="EB591" s="399">
        <v>0</v>
      </c>
      <c r="EC591" s="399">
        <v>-352926.59240276669</v>
      </c>
      <c r="ED591" s="399">
        <v>0</v>
      </c>
      <c r="EE591" s="399">
        <v>0</v>
      </c>
      <c r="EF591" s="399">
        <v>0</v>
      </c>
      <c r="EG591" s="399">
        <v>0</v>
      </c>
      <c r="EH591" s="399">
        <v>0</v>
      </c>
      <c r="EI591" s="399">
        <v>0</v>
      </c>
      <c r="EJ591" s="399">
        <v>0</v>
      </c>
      <c r="EK591" s="399">
        <v>0</v>
      </c>
      <c r="EL591" s="399">
        <v>0</v>
      </c>
      <c r="EM591" s="399">
        <v>0</v>
      </c>
      <c r="EN591" s="399">
        <v>0</v>
      </c>
      <c r="EO591" s="399">
        <v>0</v>
      </c>
      <c r="EP591" s="399">
        <v>0</v>
      </c>
      <c r="EQ591" s="399">
        <v>0</v>
      </c>
      <c r="ER591" s="399">
        <v>0</v>
      </c>
      <c r="ES591" s="399">
        <v>0</v>
      </c>
      <c r="ET591" s="399">
        <v>0</v>
      </c>
      <c r="EU591" s="399">
        <v>0</v>
      </c>
      <c r="EV591" s="399">
        <v>218</v>
      </c>
      <c r="EW591" s="399">
        <v>0</v>
      </c>
      <c r="EX591" s="399">
        <v>0</v>
      </c>
      <c r="EY591" s="399">
        <v>0</v>
      </c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596</v>
      </c>
      <c r="B592" s="399" t="s">
        <v>2360</v>
      </c>
      <c r="C592" s="399" t="s">
        <v>2328</v>
      </c>
      <c r="D592" s="399" t="s">
        <v>2335</v>
      </c>
      <c r="E592" s="399" t="s">
        <v>894</v>
      </c>
      <c r="F592" s="399" t="s">
        <v>1239</v>
      </c>
      <c r="G592" s="399" t="s">
        <v>1239</v>
      </c>
      <c r="H592" s="399" t="s">
        <v>1239</v>
      </c>
      <c r="I592" s="399" t="s">
        <v>1239</v>
      </c>
      <c r="J592" s="399" t="s">
        <v>2329</v>
      </c>
      <c r="K592" s="789">
        <v>44774</v>
      </c>
      <c r="L592" s="399">
        <v>0</v>
      </c>
      <c r="M592" s="399">
        <v>0</v>
      </c>
      <c r="N592" s="399">
        <v>-7.1959999999999997</v>
      </c>
      <c r="O592" s="399">
        <v>-7.1959999999999997</v>
      </c>
      <c r="P592" s="399">
        <v>-7.1959999999999997</v>
      </c>
      <c r="Q592" s="399">
        <v>-7.1959999999999997</v>
      </c>
      <c r="R592" s="399"/>
      <c r="S592" s="399">
        <v>521.86</v>
      </c>
      <c r="T592" s="399">
        <v>141.32</v>
      </c>
      <c r="U592" s="399"/>
      <c r="V592" s="399">
        <v>-4772.2432799999997</v>
      </c>
      <c r="W592" s="399">
        <v>-4772.2432799999997</v>
      </c>
      <c r="X592" s="399">
        <v>-3729.9026800000001</v>
      </c>
      <c r="Y592" s="399">
        <v>0</v>
      </c>
      <c r="Z592" s="399">
        <v>-436.63199778339794</v>
      </c>
      <c r="AA592" s="399">
        <v>0</v>
      </c>
      <c r="AB592" s="399">
        <v>0</v>
      </c>
      <c r="AC592" s="399">
        <v>0</v>
      </c>
      <c r="AD592" s="399">
        <v>-773.95716079853571</v>
      </c>
      <c r="AE592" s="399">
        <v>-2338.3459197984557</v>
      </c>
      <c r="AF592" s="399">
        <v>-1016.9310205101713</v>
      </c>
      <c r="AG592" s="399">
        <v>0</v>
      </c>
      <c r="AH592" s="399">
        <v>0</v>
      </c>
      <c r="AI592" s="399">
        <v>0</v>
      </c>
      <c r="AJ592" s="399">
        <v>0</v>
      </c>
      <c r="AK592" s="399">
        <v>0</v>
      </c>
      <c r="AL592" s="399">
        <v>-67.512816943204527</v>
      </c>
      <c r="AM592" s="399"/>
      <c r="AN592" s="399">
        <v>-9.979892654291497</v>
      </c>
      <c r="AO592" s="399">
        <v>0</v>
      </c>
      <c r="AP592" s="399">
        <v>0</v>
      </c>
      <c r="AQ592" s="399">
        <v>0</v>
      </c>
      <c r="AR592" s="399">
        <v>0</v>
      </c>
      <c r="AS592" s="399">
        <v>0</v>
      </c>
      <c r="AT592" s="399">
        <v>0</v>
      </c>
      <c r="AU592" s="399">
        <v>0</v>
      </c>
      <c r="AV592" s="399">
        <v>0</v>
      </c>
      <c r="AW592" s="399">
        <v>0</v>
      </c>
      <c r="AX592" s="399">
        <v>0</v>
      </c>
      <c r="AY592" s="399">
        <v>0</v>
      </c>
      <c r="AZ592" s="399">
        <v>0</v>
      </c>
      <c r="BA592" s="399"/>
      <c r="BB592" s="399">
        <v>0</v>
      </c>
      <c r="BC592" s="399">
        <v>0</v>
      </c>
      <c r="BD592" s="399">
        <v>0</v>
      </c>
      <c r="BE592" s="399">
        <v>0</v>
      </c>
      <c r="BF592" s="399">
        <v>0</v>
      </c>
      <c r="BG592" s="399">
        <v>-128.84364608713224</v>
      </c>
      <c r="BH592" s="399">
        <v>0</v>
      </c>
      <c r="BI592" s="399">
        <v>-25.16</v>
      </c>
      <c r="BJ592" s="399">
        <v>-116.14</v>
      </c>
      <c r="BK592" s="399">
        <v>-754.25</v>
      </c>
      <c r="BL592" s="399">
        <v>0</v>
      </c>
      <c r="BM592" s="399"/>
      <c r="BN592" s="399"/>
      <c r="BO592" s="399"/>
      <c r="BP592" s="399"/>
      <c r="BQ592" s="399"/>
      <c r="BR592" s="399">
        <v>-447.59119999999996</v>
      </c>
      <c r="BS592" s="399"/>
      <c r="BT592" s="399"/>
      <c r="BU592" s="399"/>
      <c r="BV592" s="399">
        <v>-1145.7746665973036</v>
      </c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>
        <v>-3284.1360000000004</v>
      </c>
      <c r="CJ592" s="399">
        <v>915.34763999999905</v>
      </c>
      <c r="CK592" s="399"/>
      <c r="CL592" s="399"/>
      <c r="CM592" s="399"/>
      <c r="CN592" s="399"/>
      <c r="CO592" s="399">
        <v>1042.3406000000002</v>
      </c>
      <c r="CP592" s="399">
        <v>0</v>
      </c>
      <c r="CQ592" s="399">
        <v>31</v>
      </c>
      <c r="CR592" s="399">
        <v>32.06348603724291</v>
      </c>
      <c r="CS592" s="399">
        <v>0</v>
      </c>
      <c r="CT592" s="399">
        <v>0</v>
      </c>
      <c r="CU592" s="399">
        <v>0</v>
      </c>
      <c r="CV592" s="399">
        <v>0</v>
      </c>
      <c r="CW592" s="399">
        <v>0</v>
      </c>
      <c r="CX592" s="399">
        <v>0</v>
      </c>
      <c r="CY592" s="399">
        <v>0</v>
      </c>
      <c r="CZ592" s="399">
        <v>3.6861282090013674</v>
      </c>
      <c r="DA592" s="399">
        <v>0</v>
      </c>
      <c r="DB592" s="399">
        <v>0</v>
      </c>
      <c r="DC592" s="399">
        <v>0</v>
      </c>
      <c r="DD592" s="399">
        <v>0</v>
      </c>
      <c r="DE592" s="399">
        <v>0</v>
      </c>
      <c r="DF592" s="399">
        <v>0</v>
      </c>
      <c r="DG592" s="399">
        <v>0</v>
      </c>
      <c r="DH592" s="399">
        <v>0</v>
      </c>
      <c r="DI592" s="399">
        <v>24.601445412466205</v>
      </c>
      <c r="DJ592" s="399"/>
      <c r="DK592" s="399">
        <v>0</v>
      </c>
      <c r="DL592" s="399">
        <v>0</v>
      </c>
      <c r="DM592" s="399">
        <v>0</v>
      </c>
      <c r="DN592" s="399">
        <v>0</v>
      </c>
      <c r="DO592" s="399">
        <v>3.3734941033034858</v>
      </c>
      <c r="DP592" s="399">
        <v>0.40241831247168314</v>
      </c>
      <c r="DQ592" s="399">
        <v>0</v>
      </c>
      <c r="DR592" s="399">
        <v>0</v>
      </c>
      <c r="DS592" s="399"/>
      <c r="DT592" s="399"/>
      <c r="DU592" s="399"/>
      <c r="DV592" s="399">
        <v>-2338.3459197984557</v>
      </c>
      <c r="DW592" s="399">
        <v>0</v>
      </c>
      <c r="DX592" s="399">
        <v>0</v>
      </c>
      <c r="DY592" s="399">
        <v>1042.3406</v>
      </c>
      <c r="DZ592" s="399">
        <v>0</v>
      </c>
      <c r="EA592" s="399">
        <v>0</v>
      </c>
      <c r="EB592" s="399">
        <v>0</v>
      </c>
      <c r="EC592" s="399">
        <v>1010.2107641360183</v>
      </c>
      <c r="ED592" s="399">
        <v>0</v>
      </c>
      <c r="EE592" s="399">
        <v>0</v>
      </c>
      <c r="EF592" s="399">
        <v>0</v>
      </c>
      <c r="EG592" s="399">
        <v>0</v>
      </c>
      <c r="EH592" s="399">
        <v>0</v>
      </c>
      <c r="EI592" s="399">
        <v>0</v>
      </c>
      <c r="EJ592" s="399">
        <v>0</v>
      </c>
      <c r="EK592" s="399">
        <v>0</v>
      </c>
      <c r="EL592" s="399">
        <v>0</v>
      </c>
      <c r="EM592" s="399">
        <v>0</v>
      </c>
      <c r="EN592" s="399">
        <v>0</v>
      </c>
      <c r="EO592" s="399">
        <v>0</v>
      </c>
      <c r="EP592" s="399">
        <v>0</v>
      </c>
      <c r="EQ592" s="399">
        <v>0</v>
      </c>
      <c r="ER592" s="399">
        <v>0</v>
      </c>
      <c r="ES592" s="399">
        <v>0</v>
      </c>
      <c r="ET592" s="399">
        <v>0</v>
      </c>
      <c r="EU592" s="399">
        <v>0</v>
      </c>
      <c r="EV592" s="399">
        <v>218</v>
      </c>
      <c r="EW592" s="399">
        <v>0</v>
      </c>
      <c r="EX592" s="399">
        <v>0</v>
      </c>
      <c r="EY592" s="399">
        <v>0</v>
      </c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597</v>
      </c>
      <c r="B593" s="399" t="s">
        <v>2361</v>
      </c>
      <c r="C593" s="399" t="s">
        <v>2328</v>
      </c>
      <c r="D593" s="399" t="s">
        <v>2335</v>
      </c>
      <c r="E593" s="399" t="s">
        <v>894</v>
      </c>
      <c r="F593" s="399" t="s">
        <v>1239</v>
      </c>
      <c r="G593" s="399" t="s">
        <v>1239</v>
      </c>
      <c r="H593" s="399" t="s">
        <v>1239</v>
      </c>
      <c r="I593" s="399" t="s">
        <v>1239</v>
      </c>
      <c r="J593" s="399" t="s">
        <v>2329</v>
      </c>
      <c r="K593" s="789">
        <v>44774</v>
      </c>
      <c r="L593" s="399">
        <v>0</v>
      </c>
      <c r="M593" s="399">
        <v>0</v>
      </c>
      <c r="N593" s="399">
        <v>276.565</v>
      </c>
      <c r="O593" s="399">
        <v>276.565</v>
      </c>
      <c r="P593" s="399">
        <v>276.565</v>
      </c>
      <c r="Q593" s="399">
        <v>276.565</v>
      </c>
      <c r="R593" s="399"/>
      <c r="S593" s="399">
        <v>521.86</v>
      </c>
      <c r="T593" s="399">
        <v>141.32</v>
      </c>
      <c r="U593" s="399"/>
      <c r="V593" s="399">
        <v>183412.37669999999</v>
      </c>
      <c r="W593" s="399">
        <v>183412.37669999999</v>
      </c>
      <c r="X593" s="399">
        <v>143351.93644999998</v>
      </c>
      <c r="Y593" s="399">
        <v>0</v>
      </c>
      <c r="Z593" s="399">
        <v>16781.146257221437</v>
      </c>
      <c r="AA593" s="399">
        <v>0</v>
      </c>
      <c r="AB593" s="399">
        <v>0</v>
      </c>
      <c r="AC593" s="399">
        <v>0</v>
      </c>
      <c r="AD593" s="399">
        <v>29745.617311874241</v>
      </c>
      <c r="AE593" s="399">
        <v>89870.016579913834</v>
      </c>
      <c r="AF593" s="399">
        <v>39083.869884296211</v>
      </c>
      <c r="AG593" s="399">
        <v>0</v>
      </c>
      <c r="AH593" s="399">
        <v>0</v>
      </c>
      <c r="AI593" s="399">
        <v>0</v>
      </c>
      <c r="AJ593" s="399">
        <v>0</v>
      </c>
      <c r="AK593" s="399">
        <v>0</v>
      </c>
      <c r="AL593" s="399">
        <v>2594.7307139935187</v>
      </c>
      <c r="AM593" s="399"/>
      <c r="AN593" s="399">
        <v>383.5587843154708</v>
      </c>
      <c r="AO593" s="399">
        <v>0</v>
      </c>
      <c r="AP593" s="399">
        <v>0</v>
      </c>
      <c r="AQ593" s="399">
        <v>0</v>
      </c>
      <c r="AR593" s="399">
        <v>0</v>
      </c>
      <c r="AS593" s="399">
        <v>0</v>
      </c>
      <c r="AT593" s="399">
        <v>0</v>
      </c>
      <c r="AU593" s="399">
        <v>0</v>
      </c>
      <c r="AV593" s="399">
        <v>0</v>
      </c>
      <c r="AW593" s="399">
        <v>0</v>
      </c>
      <c r="AX593" s="399">
        <v>0</v>
      </c>
      <c r="AY593" s="399">
        <v>0</v>
      </c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>
        <v>0</v>
      </c>
      <c r="BG593" s="399">
        <v>4951.868118411302</v>
      </c>
      <c r="BH593" s="399">
        <v>0</v>
      </c>
      <c r="BI593" s="399">
        <v>968.28</v>
      </c>
      <c r="BJ593" s="399">
        <v>4476.6899999999996</v>
      </c>
      <c r="BK593" s="399">
        <v>86765.47</v>
      </c>
      <c r="BL593" s="399">
        <v>684</v>
      </c>
      <c r="BM593" s="399"/>
      <c r="BN593" s="399"/>
      <c r="BO593" s="399"/>
      <c r="BP593" s="399"/>
      <c r="BQ593" s="399"/>
      <c r="BR593" s="399">
        <v>17202.343000000001</v>
      </c>
      <c r="BS593" s="399"/>
      <c r="BT593" s="399"/>
      <c r="BU593" s="399"/>
      <c r="BV593" s="399">
        <v>44035.738002707512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126151.87409999999</v>
      </c>
      <c r="CJ593" s="399">
        <v>-35248.724249999999</v>
      </c>
      <c r="CK593" s="399"/>
      <c r="CL593" s="399"/>
      <c r="CM593" s="399"/>
      <c r="CN593" s="399"/>
      <c r="CO593" s="399">
        <v>-40060.440250000007</v>
      </c>
      <c r="CP593" s="399">
        <v>0</v>
      </c>
      <c r="CQ593" s="399">
        <v>31</v>
      </c>
      <c r="CR593" s="399">
        <v>-1232.3010027640412</v>
      </c>
      <c r="CS593" s="399">
        <v>0</v>
      </c>
      <c r="CT593" s="399">
        <v>0</v>
      </c>
      <c r="CU593" s="399">
        <v>0</v>
      </c>
      <c r="CV593" s="399">
        <v>0</v>
      </c>
      <c r="CW593" s="399">
        <v>0</v>
      </c>
      <c r="CX593" s="399">
        <v>0</v>
      </c>
      <c r="CY593" s="399">
        <v>0</v>
      </c>
      <c r="CZ593" s="399">
        <v>-141.66954531996817</v>
      </c>
      <c r="DA593" s="399">
        <v>0</v>
      </c>
      <c r="DB593" s="399">
        <v>0</v>
      </c>
      <c r="DC593" s="399">
        <v>0</v>
      </c>
      <c r="DD593" s="399">
        <v>0</v>
      </c>
      <c r="DE593" s="399">
        <v>0</v>
      </c>
      <c r="DF593" s="399">
        <v>0</v>
      </c>
      <c r="DG593" s="399">
        <v>0</v>
      </c>
      <c r="DH593" s="399">
        <v>0</v>
      </c>
      <c r="DI593" s="399">
        <v>-945.5112215812569</v>
      </c>
      <c r="DJ593" s="399"/>
      <c r="DK593" s="399">
        <v>0</v>
      </c>
      <c r="DL593" s="399">
        <v>0</v>
      </c>
      <c r="DM593" s="399">
        <v>0</v>
      </c>
      <c r="DN593" s="399">
        <v>0</v>
      </c>
      <c r="DO593" s="399">
        <v>-129.65402955532636</v>
      </c>
      <c r="DP593" s="399">
        <v>-15.466206307494588</v>
      </c>
      <c r="DQ593" s="399">
        <v>0</v>
      </c>
      <c r="DR593" s="399">
        <v>0</v>
      </c>
      <c r="DS593" s="399"/>
      <c r="DT593" s="399"/>
      <c r="DU593" s="399"/>
      <c r="DV593" s="399">
        <v>89870.016579913834</v>
      </c>
      <c r="DW593" s="399">
        <v>0</v>
      </c>
      <c r="DX593" s="399">
        <v>0</v>
      </c>
      <c r="DY593" s="399">
        <v>-40060.440250000014</v>
      </c>
      <c r="DZ593" s="399">
        <v>0</v>
      </c>
      <c r="EA593" s="399">
        <v>0</v>
      </c>
      <c r="EB593" s="399">
        <v>0</v>
      </c>
      <c r="EC593" s="399">
        <v>-38825.589213907442</v>
      </c>
      <c r="ED593" s="399">
        <v>0</v>
      </c>
      <c r="EE593" s="399">
        <v>0</v>
      </c>
      <c r="EF593" s="399">
        <v>0</v>
      </c>
      <c r="EG593" s="399">
        <v>0</v>
      </c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>
        <v>0</v>
      </c>
      <c r="EN593" s="399">
        <v>0</v>
      </c>
      <c r="EO593" s="399">
        <v>0</v>
      </c>
      <c r="EP593" s="399">
        <v>0</v>
      </c>
      <c r="EQ593" s="399">
        <v>0</v>
      </c>
      <c r="ER593" s="399">
        <v>0</v>
      </c>
      <c r="ES593" s="399">
        <v>0</v>
      </c>
      <c r="ET593" s="399">
        <v>0</v>
      </c>
      <c r="EU593" s="399">
        <v>0</v>
      </c>
      <c r="EV593" s="399">
        <v>218</v>
      </c>
      <c r="EW593" s="399">
        <v>0</v>
      </c>
      <c r="EX593" s="399">
        <v>0</v>
      </c>
      <c r="EY593" s="399">
        <v>0</v>
      </c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598</v>
      </c>
      <c r="B594" s="399" t="s">
        <v>956</v>
      </c>
      <c r="C594" s="399" t="s">
        <v>2334</v>
      </c>
      <c r="D594" s="399" t="s">
        <v>533</v>
      </c>
      <c r="E594" s="399" t="s">
        <v>894</v>
      </c>
      <c r="F594" s="399" t="s">
        <v>1239</v>
      </c>
      <c r="G594" s="399" t="s">
        <v>1239</v>
      </c>
      <c r="H594" s="399" t="s">
        <v>1239</v>
      </c>
      <c r="I594" s="399" t="s">
        <v>893</v>
      </c>
      <c r="J594" s="399" t="s">
        <v>2329</v>
      </c>
      <c r="K594" s="789">
        <v>44774</v>
      </c>
      <c r="L594" s="399">
        <v>0</v>
      </c>
      <c r="M594" s="399">
        <v>0</v>
      </c>
      <c r="N594" s="399">
        <v>1.5349999999999999</v>
      </c>
      <c r="O594" s="399">
        <v>1.4736</v>
      </c>
      <c r="P594" s="399">
        <v>1.5349999999999999</v>
      </c>
      <c r="Q594" s="399">
        <v>1.4736</v>
      </c>
      <c r="R594" s="399"/>
      <c r="S594" s="399">
        <v>2741.05</v>
      </c>
      <c r="T594" s="399">
        <v>141.32</v>
      </c>
      <c r="U594" s="399"/>
      <c r="V594" s="399">
        <v>4424.4379499999995</v>
      </c>
      <c r="W594" s="399">
        <v>4424.4379499999995</v>
      </c>
      <c r="X594" s="399">
        <v>3168.0557999999996</v>
      </c>
      <c r="Y594" s="399">
        <v>0</v>
      </c>
      <c r="Z594" s="399">
        <v>81.031156397976503</v>
      </c>
      <c r="AA594" s="399">
        <v>0</v>
      </c>
      <c r="AB594" s="399">
        <v>0</v>
      </c>
      <c r="AC594" s="399">
        <v>0</v>
      </c>
      <c r="AD594" s="399">
        <v>1218.1168704615013</v>
      </c>
      <c r="AE594" s="399">
        <v>2882.4364105001614</v>
      </c>
      <c r="AF594" s="399">
        <v>216.92455759909851</v>
      </c>
      <c r="AG594" s="399">
        <v>0</v>
      </c>
      <c r="AH594" s="399">
        <v>0</v>
      </c>
      <c r="AI594" s="399">
        <v>0</v>
      </c>
      <c r="AJ594" s="399">
        <v>0</v>
      </c>
      <c r="AK594" s="399">
        <v>0</v>
      </c>
      <c r="AL594" s="399">
        <v>14.40135825567245</v>
      </c>
      <c r="AM594" s="399"/>
      <c r="AN594" s="399">
        <v>0.92213960308501564</v>
      </c>
      <c r="AO594" s="399">
        <v>0</v>
      </c>
      <c r="AP594" s="399">
        <v>0</v>
      </c>
      <c r="AQ594" s="399">
        <v>0</v>
      </c>
      <c r="AR594" s="399">
        <v>0</v>
      </c>
      <c r="AS594" s="399">
        <v>0</v>
      </c>
      <c r="AT594" s="399">
        <v>0</v>
      </c>
      <c r="AU594" s="399">
        <v>0</v>
      </c>
      <c r="AV594" s="399">
        <v>0</v>
      </c>
      <c r="AW594" s="399">
        <v>0</v>
      </c>
      <c r="AX594" s="399">
        <v>0</v>
      </c>
      <c r="AY594" s="399">
        <v>0</v>
      </c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>
        <v>0</v>
      </c>
      <c r="BG594" s="399">
        <v>10.611391182158549</v>
      </c>
      <c r="BH594" s="399">
        <v>0</v>
      </c>
      <c r="BI594" s="399">
        <v>0</v>
      </c>
      <c r="BJ594" s="399">
        <v>0</v>
      </c>
      <c r="BK594" s="399">
        <v>0</v>
      </c>
      <c r="BL594" s="399">
        <v>0</v>
      </c>
      <c r="BM594" s="399"/>
      <c r="BN594" s="399"/>
      <c r="BO594" s="399"/>
      <c r="BP594" s="399"/>
      <c r="BQ594" s="399"/>
      <c r="BR594" s="399">
        <v>126.72223199999979</v>
      </c>
      <c r="BS594" s="399"/>
      <c r="BT594" s="399"/>
      <c r="BU594" s="399"/>
      <c r="BV594" s="399">
        <v>227.53594878125705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3033.9036000000001</v>
      </c>
      <c r="CJ594" s="399">
        <v>-1213.5868320000013</v>
      </c>
      <c r="CK594" s="399"/>
      <c r="CL594" s="399"/>
      <c r="CM594" s="399"/>
      <c r="CN594" s="399"/>
      <c r="CO594" s="399">
        <v>-1256.3821500000004</v>
      </c>
      <c r="CP594" s="399">
        <v>0</v>
      </c>
      <c r="CQ594" s="399">
        <v>31</v>
      </c>
      <c r="CR594" s="399">
        <v>-11.123914428645321</v>
      </c>
      <c r="CS594" s="399">
        <v>0</v>
      </c>
      <c r="CT594" s="399">
        <v>0</v>
      </c>
      <c r="CU594" s="399">
        <v>0</v>
      </c>
      <c r="CV594" s="399">
        <v>0</v>
      </c>
      <c r="CW594" s="399">
        <v>0</v>
      </c>
      <c r="CX594" s="399">
        <v>0</v>
      </c>
      <c r="CY594" s="399">
        <v>0</v>
      </c>
      <c r="CZ594" s="399">
        <v>-5.8015290580663077</v>
      </c>
      <c r="DA594" s="399">
        <v>0</v>
      </c>
      <c r="DB594" s="399">
        <v>0</v>
      </c>
      <c r="DC594" s="399">
        <v>0</v>
      </c>
      <c r="DD594" s="399">
        <v>0</v>
      </c>
      <c r="DE594" s="399">
        <v>0</v>
      </c>
      <c r="DF594" s="399">
        <v>0</v>
      </c>
      <c r="DG594" s="399">
        <v>0</v>
      </c>
      <c r="DH594" s="399">
        <v>0</v>
      </c>
      <c r="DI594" s="399">
        <v>-4.565592033918719</v>
      </c>
      <c r="DJ594" s="399"/>
      <c r="DK594" s="399">
        <v>0</v>
      </c>
      <c r="DL594" s="399">
        <v>0</v>
      </c>
      <c r="DM594" s="399">
        <v>0</v>
      </c>
      <c r="DN594" s="399">
        <v>0</v>
      </c>
      <c r="DO594" s="399">
        <v>-0.71960998451512737</v>
      </c>
      <c r="DP594" s="399">
        <v>-3.7183352145300663E-2</v>
      </c>
      <c r="DQ594" s="399">
        <v>0</v>
      </c>
      <c r="DR594" s="399">
        <v>0</v>
      </c>
      <c r="DS594" s="399"/>
      <c r="DT594" s="399"/>
      <c r="DU594" s="399"/>
      <c r="DV594" s="399">
        <v>2882.4364105001614</v>
      </c>
      <c r="DW594" s="399">
        <v>0</v>
      </c>
      <c r="DX594" s="399">
        <v>0</v>
      </c>
      <c r="DY594" s="399">
        <v>-1256.3821499999999</v>
      </c>
      <c r="DZ594" s="399">
        <v>0</v>
      </c>
      <c r="EA594" s="399">
        <v>0</v>
      </c>
      <c r="EB594" s="399">
        <v>0</v>
      </c>
      <c r="EC594" s="399">
        <v>-1245.2684028357271</v>
      </c>
      <c r="ED594" s="399">
        <v>0</v>
      </c>
      <c r="EE594" s="399">
        <v>0</v>
      </c>
      <c r="EF594" s="399">
        <v>0</v>
      </c>
      <c r="EG594" s="399">
        <v>0</v>
      </c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>
        <v>0</v>
      </c>
      <c r="EN594" s="399">
        <v>0</v>
      </c>
      <c r="EO594" s="399">
        <v>0</v>
      </c>
      <c r="EP594" s="399">
        <v>0</v>
      </c>
      <c r="EQ594" s="399">
        <v>0</v>
      </c>
      <c r="ER594" s="399">
        <v>0</v>
      </c>
      <c r="ES594" s="399">
        <v>0</v>
      </c>
      <c r="ET594" s="399">
        <v>0</v>
      </c>
      <c r="EU594" s="399">
        <v>0</v>
      </c>
      <c r="EV594" s="399">
        <v>218</v>
      </c>
      <c r="EW594" s="399">
        <v>0</v>
      </c>
      <c r="EX594" s="399">
        <v>0</v>
      </c>
      <c r="EY594" s="399">
        <v>0</v>
      </c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600</v>
      </c>
      <c r="B595" s="399" t="s">
        <v>956</v>
      </c>
      <c r="C595" s="399" t="s">
        <v>2334</v>
      </c>
      <c r="D595" s="399" t="s">
        <v>533</v>
      </c>
      <c r="E595" s="399" t="s">
        <v>894</v>
      </c>
      <c r="F595" s="399" t="s">
        <v>1239</v>
      </c>
      <c r="G595" s="399" t="s">
        <v>1239</v>
      </c>
      <c r="H595" s="399" t="s">
        <v>1239</v>
      </c>
      <c r="I595" s="399" t="s">
        <v>2326</v>
      </c>
      <c r="J595" s="399" t="s">
        <v>2329</v>
      </c>
      <c r="K595" s="789">
        <v>44774</v>
      </c>
      <c r="L595" s="399">
        <v>0</v>
      </c>
      <c r="M595" s="399">
        <v>0</v>
      </c>
      <c r="N595" s="399">
        <v>15.085000000000001</v>
      </c>
      <c r="O595" s="399">
        <v>14.4816</v>
      </c>
      <c r="P595" s="399">
        <v>15.085000000000001</v>
      </c>
      <c r="Q595" s="399">
        <v>14.4816</v>
      </c>
      <c r="R595" s="399"/>
      <c r="S595" s="399">
        <v>69.680000000000007</v>
      </c>
      <c r="T595" s="399">
        <v>141.32</v>
      </c>
      <c r="U595" s="399"/>
      <c r="V595" s="399">
        <v>3182.9349999999999</v>
      </c>
      <c r="W595" s="399">
        <v>3182.9349999999999</v>
      </c>
      <c r="X595" s="399">
        <v>3130.7408999999998</v>
      </c>
      <c r="Y595" s="399">
        <v>0</v>
      </c>
      <c r="Z595" s="399">
        <v>796.32247183288314</v>
      </c>
      <c r="AA595" s="399">
        <v>0</v>
      </c>
      <c r="AB595" s="399">
        <v>0</v>
      </c>
      <c r="AC595" s="399">
        <v>0</v>
      </c>
      <c r="AD595" s="399">
        <v>0</v>
      </c>
      <c r="AE595" s="399">
        <v>0</v>
      </c>
      <c r="AF595" s="399">
        <v>2131.7960595325089</v>
      </c>
      <c r="AG595" s="399">
        <v>0</v>
      </c>
      <c r="AH595" s="399">
        <v>0</v>
      </c>
      <c r="AI595" s="399">
        <v>0</v>
      </c>
      <c r="AJ595" s="399">
        <v>0</v>
      </c>
      <c r="AK595" s="399">
        <v>0</v>
      </c>
      <c r="AL595" s="399">
        <v>141.52735458424686</v>
      </c>
      <c r="AM595" s="399"/>
      <c r="AN595" s="399">
        <v>9.0621992915553502</v>
      </c>
      <c r="AO595" s="399">
        <v>0</v>
      </c>
      <c r="AP595" s="399">
        <v>0</v>
      </c>
      <c r="AQ595" s="399">
        <v>0</v>
      </c>
      <c r="AR595" s="399">
        <v>0</v>
      </c>
      <c r="AS595" s="399">
        <v>0</v>
      </c>
      <c r="AT595" s="399">
        <v>0</v>
      </c>
      <c r="AU595" s="399">
        <v>0</v>
      </c>
      <c r="AV595" s="399">
        <v>0</v>
      </c>
      <c r="AW595" s="399">
        <v>0</v>
      </c>
      <c r="AX595" s="399">
        <v>0</v>
      </c>
      <c r="AY595" s="399">
        <v>0</v>
      </c>
      <c r="AZ595" s="399">
        <v>0</v>
      </c>
      <c r="BA595" s="399"/>
      <c r="BB595" s="399">
        <v>0</v>
      </c>
      <c r="BC595" s="399">
        <v>0</v>
      </c>
      <c r="BD595" s="399">
        <v>0</v>
      </c>
      <c r="BE595" s="399">
        <v>0</v>
      </c>
      <c r="BF595" s="399">
        <v>0</v>
      </c>
      <c r="BG595" s="399">
        <v>104.28197783899788</v>
      </c>
      <c r="BH595" s="399">
        <v>0</v>
      </c>
      <c r="BI595" s="399">
        <v>0</v>
      </c>
      <c r="BJ595" s="399">
        <v>0</v>
      </c>
      <c r="BK595" s="399">
        <v>0</v>
      </c>
      <c r="BL595" s="399">
        <v>0</v>
      </c>
      <c r="BM595" s="399"/>
      <c r="BN595" s="399"/>
      <c r="BO595" s="399"/>
      <c r="BP595" s="399"/>
      <c r="BQ595" s="399"/>
      <c r="BR595" s="399">
        <v>125.22963600000011</v>
      </c>
      <c r="BS595" s="399"/>
      <c r="BT595" s="399"/>
      <c r="BU595" s="399"/>
      <c r="BV595" s="399">
        <v>2236.078037371507</v>
      </c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>
        <v>3005.1792</v>
      </c>
      <c r="CJ595" s="399">
        <v>-50.468400000000202</v>
      </c>
      <c r="CK595" s="399"/>
      <c r="CL595" s="399"/>
      <c r="CM595" s="399"/>
      <c r="CN595" s="399"/>
      <c r="CO595" s="399">
        <v>-52.19410000000012</v>
      </c>
      <c r="CP595" s="399">
        <v>0</v>
      </c>
      <c r="CQ595" s="399">
        <v>31</v>
      </c>
      <c r="CR595" s="399">
        <v>-52.305005417059874</v>
      </c>
      <c r="CS595" s="399">
        <v>0</v>
      </c>
      <c r="CT595" s="399">
        <v>0</v>
      </c>
      <c r="CU595" s="399">
        <v>0</v>
      </c>
      <c r="CV595" s="399">
        <v>0</v>
      </c>
      <c r="CW595" s="399">
        <v>0</v>
      </c>
      <c r="CX595" s="399">
        <v>0</v>
      </c>
      <c r="CY595" s="399">
        <v>0</v>
      </c>
      <c r="CZ595" s="399">
        <v>0</v>
      </c>
      <c r="DA595" s="399">
        <v>0</v>
      </c>
      <c r="DB595" s="399">
        <v>0</v>
      </c>
      <c r="DC595" s="399">
        <v>0</v>
      </c>
      <c r="DD595" s="399">
        <v>0</v>
      </c>
      <c r="DE595" s="399">
        <v>0</v>
      </c>
      <c r="DF595" s="399">
        <v>0</v>
      </c>
      <c r="DG595" s="399">
        <v>0</v>
      </c>
      <c r="DH595" s="399">
        <v>0</v>
      </c>
      <c r="DI595" s="399">
        <v>-44.867723668836447</v>
      </c>
      <c r="DJ595" s="399"/>
      <c r="DK595" s="399">
        <v>0</v>
      </c>
      <c r="DL595" s="399">
        <v>0</v>
      </c>
      <c r="DM595" s="399">
        <v>0</v>
      </c>
      <c r="DN595" s="399">
        <v>0</v>
      </c>
      <c r="DO595" s="399">
        <v>-7.0718675025476898</v>
      </c>
      <c r="DP595" s="399">
        <v>-0.36541424567547942</v>
      </c>
      <c r="DQ595" s="399">
        <v>0</v>
      </c>
      <c r="DR595" s="399">
        <v>0</v>
      </c>
      <c r="DS595" s="399"/>
      <c r="DT595" s="399"/>
      <c r="DU595" s="399"/>
      <c r="DV595" s="399">
        <v>0</v>
      </c>
      <c r="DW595" s="399">
        <v>0</v>
      </c>
      <c r="DX595" s="399">
        <v>0</v>
      </c>
      <c r="DY595" s="399">
        <v>-52.194100000000049</v>
      </c>
      <c r="DZ595" s="399">
        <v>0</v>
      </c>
      <c r="EA595" s="399">
        <v>0</v>
      </c>
      <c r="EB595" s="399">
        <v>0</v>
      </c>
      <c r="EC595" s="399">
        <v>0</v>
      </c>
      <c r="ED595" s="399">
        <v>0</v>
      </c>
      <c r="EE595" s="399">
        <v>0</v>
      </c>
      <c r="EF595" s="399">
        <v>0</v>
      </c>
      <c r="EG595" s="399">
        <v>0</v>
      </c>
      <c r="EH595" s="399">
        <v>0</v>
      </c>
      <c r="EI595" s="399">
        <v>0</v>
      </c>
      <c r="EJ595" s="399">
        <v>0</v>
      </c>
      <c r="EK595" s="399">
        <v>0</v>
      </c>
      <c r="EL595" s="399">
        <v>0</v>
      </c>
      <c r="EM595" s="399">
        <v>0</v>
      </c>
      <c r="EN595" s="399">
        <v>0</v>
      </c>
      <c r="EO595" s="399">
        <v>0</v>
      </c>
      <c r="EP595" s="399">
        <v>0</v>
      </c>
      <c r="EQ595" s="399">
        <v>0</v>
      </c>
      <c r="ER595" s="399">
        <v>0</v>
      </c>
      <c r="ES595" s="399">
        <v>0</v>
      </c>
      <c r="ET595" s="399">
        <v>0</v>
      </c>
      <c r="EU595" s="399">
        <v>0</v>
      </c>
      <c r="EV595" s="399">
        <v>218</v>
      </c>
      <c r="EW595" s="399">
        <v>0</v>
      </c>
      <c r="EX595" s="399">
        <v>0</v>
      </c>
      <c r="EY595" s="399">
        <v>0</v>
      </c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601</v>
      </c>
      <c r="B596" s="399" t="s">
        <v>2361</v>
      </c>
      <c r="C596" s="399" t="s">
        <v>2334</v>
      </c>
      <c r="D596" s="399" t="s">
        <v>533</v>
      </c>
      <c r="E596" s="399" t="s">
        <v>894</v>
      </c>
      <c r="F596" s="399" t="s">
        <v>1239</v>
      </c>
      <c r="G596" s="399" t="s">
        <v>1239</v>
      </c>
      <c r="H596" s="399" t="s">
        <v>1239</v>
      </c>
      <c r="I596" s="399" t="s">
        <v>2326</v>
      </c>
      <c r="J596" s="399" t="s">
        <v>2329</v>
      </c>
      <c r="K596" s="789">
        <v>44774</v>
      </c>
      <c r="L596" s="399">
        <v>0</v>
      </c>
      <c r="M596" s="399">
        <v>0</v>
      </c>
      <c r="N596" s="399">
        <v>56.241</v>
      </c>
      <c r="O596" s="399">
        <v>53.99136</v>
      </c>
      <c r="P596" s="399">
        <v>56.241</v>
      </c>
      <c r="Q596" s="399">
        <v>53.99136</v>
      </c>
      <c r="R596" s="399"/>
      <c r="S596" s="399">
        <v>69.680000000000007</v>
      </c>
      <c r="T596" s="399">
        <v>141.32</v>
      </c>
      <c r="U596" s="399"/>
      <c r="V596" s="399">
        <v>11866.851000000001</v>
      </c>
      <c r="W596" s="399">
        <v>11866.851000000001</v>
      </c>
      <c r="X596" s="399">
        <v>11672.25714</v>
      </c>
      <c r="Y596" s="399">
        <v>0</v>
      </c>
      <c r="Z596" s="399">
        <v>2968.9076657841019</v>
      </c>
      <c r="AA596" s="399">
        <v>0</v>
      </c>
      <c r="AB596" s="399">
        <v>0</v>
      </c>
      <c r="AC596" s="399">
        <v>0</v>
      </c>
      <c r="AD596" s="399">
        <v>0</v>
      </c>
      <c r="AE596" s="399">
        <v>0</v>
      </c>
      <c r="AF596" s="399">
        <v>7947.9179439289255</v>
      </c>
      <c r="AG596" s="399">
        <v>0</v>
      </c>
      <c r="AH596" s="399">
        <v>0</v>
      </c>
      <c r="AI596" s="399">
        <v>0</v>
      </c>
      <c r="AJ596" s="399">
        <v>0</v>
      </c>
      <c r="AK596" s="399">
        <v>0</v>
      </c>
      <c r="AL596" s="399">
        <v>527.65263169855007</v>
      </c>
      <c r="AM596" s="399"/>
      <c r="AN596" s="399">
        <v>33.786354017657573</v>
      </c>
      <c r="AO596" s="399">
        <v>0</v>
      </c>
      <c r="AP596" s="399">
        <v>0</v>
      </c>
      <c r="AQ596" s="399">
        <v>0</v>
      </c>
      <c r="AR596" s="399">
        <v>0</v>
      </c>
      <c r="AS596" s="399">
        <v>0</v>
      </c>
      <c r="AT596" s="399">
        <v>0</v>
      </c>
      <c r="AU596" s="399">
        <v>0</v>
      </c>
      <c r="AV596" s="399">
        <v>0</v>
      </c>
      <c r="AW596" s="399">
        <v>0</v>
      </c>
      <c r="AX596" s="399">
        <v>0</v>
      </c>
      <c r="AY596" s="399">
        <v>0</v>
      </c>
      <c r="AZ596" s="399">
        <v>0</v>
      </c>
      <c r="BA596" s="399"/>
      <c r="BB596" s="399">
        <v>0</v>
      </c>
      <c r="BC596" s="399">
        <v>0</v>
      </c>
      <c r="BD596" s="399">
        <v>0</v>
      </c>
      <c r="BE596" s="399">
        <v>0</v>
      </c>
      <c r="BF596" s="399">
        <v>0</v>
      </c>
      <c r="BG596" s="399">
        <v>388.79169477249445</v>
      </c>
      <c r="BH596" s="399">
        <v>0</v>
      </c>
      <c r="BI596" s="399">
        <v>0</v>
      </c>
      <c r="BJ596" s="399">
        <v>0</v>
      </c>
      <c r="BK596" s="399">
        <v>0</v>
      </c>
      <c r="BL596" s="399">
        <v>0</v>
      </c>
      <c r="BM596" s="399"/>
      <c r="BN596" s="399"/>
      <c r="BO596" s="399"/>
      <c r="BP596" s="399"/>
      <c r="BQ596" s="399"/>
      <c r="BR596" s="399">
        <v>466.89028559999986</v>
      </c>
      <c r="BS596" s="399"/>
      <c r="BT596" s="399"/>
      <c r="BU596" s="399"/>
      <c r="BV596" s="399">
        <v>8336.7096387014208</v>
      </c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>
        <v>11205.0846</v>
      </c>
      <c r="CJ596" s="399">
        <v>-187.12236000000121</v>
      </c>
      <c r="CK596" s="399"/>
      <c r="CL596" s="399"/>
      <c r="CM596" s="399"/>
      <c r="CN596" s="399"/>
      <c r="CO596" s="399">
        <v>-194.59386000000043</v>
      </c>
      <c r="CP596" s="399">
        <v>0</v>
      </c>
      <c r="CQ596" s="399">
        <v>31</v>
      </c>
      <c r="CR596" s="399">
        <v>-195.00734568516964</v>
      </c>
      <c r="CS596" s="399">
        <v>0</v>
      </c>
      <c r="CT596" s="399">
        <v>0</v>
      </c>
      <c r="CU596" s="399">
        <v>0</v>
      </c>
      <c r="CV596" s="399">
        <v>0</v>
      </c>
      <c r="CW596" s="399">
        <v>0</v>
      </c>
      <c r="CX596" s="399">
        <v>0</v>
      </c>
      <c r="CY596" s="399">
        <v>0</v>
      </c>
      <c r="CZ596" s="399">
        <v>0</v>
      </c>
      <c r="DA596" s="399">
        <v>0</v>
      </c>
      <c r="DB596" s="399">
        <v>0</v>
      </c>
      <c r="DC596" s="399">
        <v>0</v>
      </c>
      <c r="DD596" s="399">
        <v>0</v>
      </c>
      <c r="DE596" s="399">
        <v>0</v>
      </c>
      <c r="DF596" s="399">
        <v>0</v>
      </c>
      <c r="DG596" s="399">
        <v>0</v>
      </c>
      <c r="DH596" s="399">
        <v>0</v>
      </c>
      <c r="DI596" s="399">
        <v>-167.27912806490076</v>
      </c>
      <c r="DJ596" s="399"/>
      <c r="DK596" s="399">
        <v>0</v>
      </c>
      <c r="DL596" s="399">
        <v>0</v>
      </c>
      <c r="DM596" s="399">
        <v>0</v>
      </c>
      <c r="DN596" s="399">
        <v>0</v>
      </c>
      <c r="DO596" s="399">
        <v>-26.365853510824309</v>
      </c>
      <c r="DP596" s="399">
        <v>-1.3623641094487695</v>
      </c>
      <c r="DQ596" s="399">
        <v>0</v>
      </c>
      <c r="DR596" s="399">
        <v>0</v>
      </c>
      <c r="DS596" s="399"/>
      <c r="DT596" s="399"/>
      <c r="DU596" s="399"/>
      <c r="DV596" s="399">
        <v>0</v>
      </c>
      <c r="DW596" s="399">
        <v>0</v>
      </c>
      <c r="DX596" s="399">
        <v>0</v>
      </c>
      <c r="DY596" s="399">
        <v>-194.5938600000004</v>
      </c>
      <c r="DZ596" s="399">
        <v>0</v>
      </c>
      <c r="EA596" s="399">
        <v>0</v>
      </c>
      <c r="EB596" s="399">
        <v>0</v>
      </c>
      <c r="EC596" s="399">
        <v>0</v>
      </c>
      <c r="ED596" s="399">
        <v>0</v>
      </c>
      <c r="EE596" s="399">
        <v>0</v>
      </c>
      <c r="EF596" s="399">
        <v>0</v>
      </c>
      <c r="EG596" s="399">
        <v>0</v>
      </c>
      <c r="EH596" s="399">
        <v>0</v>
      </c>
      <c r="EI596" s="399">
        <v>0</v>
      </c>
      <c r="EJ596" s="399">
        <v>0</v>
      </c>
      <c r="EK596" s="399">
        <v>0</v>
      </c>
      <c r="EL596" s="399">
        <v>0</v>
      </c>
      <c r="EM596" s="399">
        <v>0</v>
      </c>
      <c r="EN596" s="399">
        <v>0</v>
      </c>
      <c r="EO596" s="399">
        <v>0</v>
      </c>
      <c r="EP596" s="399">
        <v>0</v>
      </c>
      <c r="EQ596" s="399">
        <v>0</v>
      </c>
      <c r="ER596" s="399">
        <v>0</v>
      </c>
      <c r="ES596" s="399">
        <v>0</v>
      </c>
      <c r="ET596" s="399">
        <v>0</v>
      </c>
      <c r="EU596" s="399">
        <v>0</v>
      </c>
      <c r="EV596" s="399">
        <v>218</v>
      </c>
      <c r="EW596" s="399">
        <v>0</v>
      </c>
      <c r="EX596" s="399">
        <v>0</v>
      </c>
      <c r="EY596" s="399">
        <v>0</v>
      </c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602</v>
      </c>
      <c r="B597" s="399" t="s">
        <v>956</v>
      </c>
      <c r="C597" s="399" t="s">
        <v>2334</v>
      </c>
      <c r="D597" s="399" t="s">
        <v>533</v>
      </c>
      <c r="E597" s="399" t="s">
        <v>894</v>
      </c>
      <c r="F597" s="399" t="s">
        <v>1239</v>
      </c>
      <c r="G597" s="399" t="s">
        <v>1239</v>
      </c>
      <c r="H597" s="399" t="s">
        <v>1239</v>
      </c>
      <c r="I597" s="399" t="s">
        <v>1239</v>
      </c>
      <c r="J597" s="399" t="s">
        <v>2329</v>
      </c>
      <c r="K597" s="789">
        <v>44774</v>
      </c>
      <c r="L597" s="399">
        <v>90</v>
      </c>
      <c r="M597" s="399">
        <v>86.4</v>
      </c>
      <c r="N597" s="399">
        <v>0</v>
      </c>
      <c r="O597" s="399">
        <v>0</v>
      </c>
      <c r="P597" s="399">
        <v>0</v>
      </c>
      <c r="Q597" s="399">
        <v>0</v>
      </c>
      <c r="R597" s="399">
        <v>35.15</v>
      </c>
      <c r="S597" s="399"/>
      <c r="T597" s="399"/>
      <c r="U597" s="399">
        <v>3163.5</v>
      </c>
      <c r="V597" s="399"/>
      <c r="W597" s="399">
        <v>3163.5</v>
      </c>
      <c r="X597" s="399">
        <v>2309.4</v>
      </c>
      <c r="Y597" s="399">
        <v>0</v>
      </c>
      <c r="Z597" s="399">
        <v>0</v>
      </c>
      <c r="AA597" s="399">
        <v>0</v>
      </c>
      <c r="AB597" s="399">
        <v>0</v>
      </c>
      <c r="AC597" s="399">
        <v>0</v>
      </c>
      <c r="AD597" s="399">
        <v>1199.8235963272409</v>
      </c>
      <c r="AE597" s="399">
        <v>1963.6179499154971</v>
      </c>
      <c r="AF597" s="399"/>
      <c r="AG597" s="399"/>
      <c r="AH597" s="399"/>
      <c r="AI597" s="399">
        <v>0</v>
      </c>
      <c r="AJ597" s="399">
        <v>0</v>
      </c>
      <c r="AK597" s="399">
        <v>0</v>
      </c>
      <c r="AL597" s="399">
        <v>0</v>
      </c>
      <c r="AM597" s="399"/>
      <c r="AN597" s="399">
        <v>0</v>
      </c>
      <c r="AO597" s="399">
        <v>0</v>
      </c>
      <c r="AP597" s="399">
        <v>0</v>
      </c>
      <c r="AQ597" s="399">
        <v>0</v>
      </c>
      <c r="AR597" s="399">
        <v>0</v>
      </c>
      <c r="AS597" s="399"/>
      <c r="AT597" s="399"/>
      <c r="AU597" s="399">
        <v>0</v>
      </c>
      <c r="AV597" s="399">
        <v>0</v>
      </c>
      <c r="AW597" s="399">
        <v>0</v>
      </c>
      <c r="AX597" s="399"/>
      <c r="AY597" s="399"/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/>
      <c r="BG597" s="399">
        <v>0</v>
      </c>
      <c r="BH597" s="399">
        <v>0</v>
      </c>
      <c r="BI597" s="399">
        <v>58.07</v>
      </c>
      <c r="BJ597" s="399">
        <v>268.02999999999997</v>
      </c>
      <c r="BK597" s="399">
        <v>1582.54</v>
      </c>
      <c r="BL597" s="399">
        <v>1</v>
      </c>
      <c r="BM597" s="399"/>
      <c r="BN597" s="399"/>
      <c r="BO597" s="399"/>
      <c r="BP597" s="399"/>
      <c r="BQ597" s="399"/>
      <c r="BR597" s="399">
        <v>92.375999999999848</v>
      </c>
      <c r="BS597" s="399"/>
      <c r="BT597" s="399"/>
      <c r="BU597" s="399"/>
      <c r="BV597" s="399">
        <v>0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2217.0240000000003</v>
      </c>
      <c r="CJ597" s="399">
        <v>-819.96600000000035</v>
      </c>
      <c r="CK597" s="399"/>
      <c r="CL597" s="399"/>
      <c r="CM597" s="399"/>
      <c r="CN597" s="399"/>
      <c r="CO597" s="399">
        <v>-854.09999999999991</v>
      </c>
      <c r="CP597" s="399">
        <v>0</v>
      </c>
      <c r="CQ597" s="399">
        <v>31</v>
      </c>
      <c r="CR597" s="399">
        <v>-5.7144036236848024</v>
      </c>
      <c r="CS597" s="399">
        <v>0</v>
      </c>
      <c r="CT597" s="399">
        <v>0</v>
      </c>
      <c r="CU597" s="399">
        <v>0</v>
      </c>
      <c r="CV597" s="399">
        <v>0</v>
      </c>
      <c r="CW597" s="399"/>
      <c r="CX597" s="399"/>
      <c r="CY597" s="399"/>
      <c r="CZ597" s="399">
        <v>-5.7144036236848024</v>
      </c>
      <c r="DA597" s="399">
        <v>0</v>
      </c>
      <c r="DB597" s="399">
        <v>0</v>
      </c>
      <c r="DC597" s="399"/>
      <c r="DD597" s="399"/>
      <c r="DE597" s="399">
        <v>0</v>
      </c>
      <c r="DF597" s="399">
        <v>0</v>
      </c>
      <c r="DG597" s="399">
        <v>0</v>
      </c>
      <c r="DH597" s="399">
        <v>0</v>
      </c>
      <c r="DI597" s="399">
        <v>0</v>
      </c>
      <c r="DJ597" s="399"/>
      <c r="DK597" s="399">
        <v>0</v>
      </c>
      <c r="DL597" s="399">
        <v>0</v>
      </c>
      <c r="DM597" s="399"/>
      <c r="DN597" s="399">
        <v>0</v>
      </c>
      <c r="DO597" s="399">
        <v>0</v>
      </c>
      <c r="DP597" s="399">
        <v>0</v>
      </c>
      <c r="DQ597" s="399">
        <v>0</v>
      </c>
      <c r="DR597" s="399">
        <v>0</v>
      </c>
      <c r="DS597" s="399"/>
      <c r="DT597" s="399"/>
      <c r="DU597" s="399">
        <v>1963.6179499154971</v>
      </c>
      <c r="DV597" s="399"/>
      <c r="DW597" s="399">
        <v>0</v>
      </c>
      <c r="DX597" s="399">
        <v>0</v>
      </c>
      <c r="DY597" s="399">
        <v>-854.09999999999991</v>
      </c>
      <c r="DZ597" s="399"/>
      <c r="EA597" s="399">
        <v>0</v>
      </c>
      <c r="EB597" s="399"/>
      <c r="EC597" s="399">
        <v>-848.32101737381709</v>
      </c>
      <c r="ED597" s="399"/>
      <c r="EE597" s="399">
        <v>0</v>
      </c>
      <c r="EF597" s="399">
        <v>0</v>
      </c>
      <c r="EG597" s="399"/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/>
      <c r="EN597" s="399"/>
      <c r="EO597" s="399">
        <v>0</v>
      </c>
      <c r="EP597" s="399">
        <v>0</v>
      </c>
      <c r="EQ597" s="399"/>
      <c r="ER597" s="399">
        <v>0</v>
      </c>
      <c r="ES597" s="399"/>
      <c r="ET597" s="399">
        <v>0</v>
      </c>
      <c r="EU597" s="399"/>
      <c r="EV597" s="399">
        <v>218</v>
      </c>
      <c r="EW597" s="399"/>
      <c r="EX597" s="399"/>
      <c r="EY597" s="399"/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603</v>
      </c>
      <c r="B598" s="399" t="s">
        <v>2361</v>
      </c>
      <c r="C598" s="399" t="s">
        <v>2334</v>
      </c>
      <c r="D598" s="399" t="s">
        <v>533</v>
      </c>
      <c r="E598" s="399" t="s">
        <v>894</v>
      </c>
      <c r="F598" s="399" t="s">
        <v>1239</v>
      </c>
      <c r="G598" s="399" t="s">
        <v>1239</v>
      </c>
      <c r="H598" s="399" t="s">
        <v>1239</v>
      </c>
      <c r="I598" s="399" t="s">
        <v>1239</v>
      </c>
      <c r="J598" s="399" t="s">
        <v>2329</v>
      </c>
      <c r="K598" s="789">
        <v>44774</v>
      </c>
      <c r="L598" s="399">
        <v>250</v>
      </c>
      <c r="M598" s="399">
        <v>240</v>
      </c>
      <c r="N598" s="399">
        <v>0</v>
      </c>
      <c r="O598" s="399">
        <v>0</v>
      </c>
      <c r="P598" s="399">
        <v>0</v>
      </c>
      <c r="Q598" s="399">
        <v>0</v>
      </c>
      <c r="R598" s="399">
        <v>35.15</v>
      </c>
      <c r="S598" s="399"/>
      <c r="T598" s="399"/>
      <c r="U598" s="399">
        <v>8787.5</v>
      </c>
      <c r="V598" s="399"/>
      <c r="W598" s="399">
        <v>8787.5</v>
      </c>
      <c r="X598" s="399">
        <v>6415</v>
      </c>
      <c r="Y598" s="399">
        <v>0</v>
      </c>
      <c r="Z598" s="399">
        <v>0</v>
      </c>
      <c r="AA598" s="399">
        <v>0</v>
      </c>
      <c r="AB598" s="399">
        <v>0</v>
      </c>
      <c r="AC598" s="399">
        <v>0</v>
      </c>
      <c r="AD598" s="399">
        <v>3332.8433231312247</v>
      </c>
      <c r="AE598" s="399">
        <v>5454.4943053208253</v>
      </c>
      <c r="AF598" s="399"/>
      <c r="AG598" s="399"/>
      <c r="AH598" s="399"/>
      <c r="AI598" s="399">
        <v>0</v>
      </c>
      <c r="AJ598" s="399">
        <v>0</v>
      </c>
      <c r="AK598" s="399">
        <v>0</v>
      </c>
      <c r="AL598" s="399">
        <v>0</v>
      </c>
      <c r="AM598" s="399"/>
      <c r="AN598" s="399">
        <v>0</v>
      </c>
      <c r="AO598" s="399">
        <v>0</v>
      </c>
      <c r="AP598" s="399">
        <v>0</v>
      </c>
      <c r="AQ598" s="399">
        <v>0</v>
      </c>
      <c r="AR598" s="399">
        <v>0</v>
      </c>
      <c r="AS598" s="399"/>
      <c r="AT598" s="399"/>
      <c r="AU598" s="399">
        <v>0</v>
      </c>
      <c r="AV598" s="399">
        <v>0</v>
      </c>
      <c r="AW598" s="399">
        <v>0</v>
      </c>
      <c r="AX598" s="399"/>
      <c r="AY598" s="399"/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/>
      <c r="BG598" s="399">
        <v>0</v>
      </c>
      <c r="BH598" s="399">
        <v>0</v>
      </c>
      <c r="BI598" s="399">
        <v>138.30000000000001</v>
      </c>
      <c r="BJ598" s="399">
        <v>638.30999999999995</v>
      </c>
      <c r="BK598" s="399">
        <v>5483.97</v>
      </c>
      <c r="BL598" s="399">
        <v>2</v>
      </c>
      <c r="BM598" s="399"/>
      <c r="BN598" s="399"/>
      <c r="BO598" s="399"/>
      <c r="BP598" s="399"/>
      <c r="BQ598" s="399"/>
      <c r="BR598" s="399">
        <v>256.60000000000002</v>
      </c>
      <c r="BS598" s="399"/>
      <c r="BT598" s="399"/>
      <c r="BU598" s="399"/>
      <c r="BV598" s="399">
        <v>0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6158.4</v>
      </c>
      <c r="CJ598" s="399">
        <v>-2277.630000000001</v>
      </c>
      <c r="CK598" s="399"/>
      <c r="CL598" s="399"/>
      <c r="CM598" s="399"/>
      <c r="CN598" s="399"/>
      <c r="CO598" s="399">
        <v>-2372.4999999999995</v>
      </c>
      <c r="CP598" s="399">
        <v>0</v>
      </c>
      <c r="CQ598" s="399">
        <v>31</v>
      </c>
      <c r="CR598" s="399">
        <v>-15.873343399124678</v>
      </c>
      <c r="CS598" s="399">
        <v>0</v>
      </c>
      <c r="CT598" s="399">
        <v>0</v>
      </c>
      <c r="CU598" s="399">
        <v>0</v>
      </c>
      <c r="CV598" s="399">
        <v>0</v>
      </c>
      <c r="CW598" s="399"/>
      <c r="CX598" s="399"/>
      <c r="CY598" s="399"/>
      <c r="CZ598" s="399">
        <v>-15.873343399124678</v>
      </c>
      <c r="DA598" s="399">
        <v>0</v>
      </c>
      <c r="DB598" s="399">
        <v>0</v>
      </c>
      <c r="DC598" s="399"/>
      <c r="DD598" s="399"/>
      <c r="DE598" s="399">
        <v>0</v>
      </c>
      <c r="DF598" s="399">
        <v>0</v>
      </c>
      <c r="DG598" s="399">
        <v>0</v>
      </c>
      <c r="DH598" s="399">
        <v>0</v>
      </c>
      <c r="DI598" s="399">
        <v>0</v>
      </c>
      <c r="DJ598" s="399"/>
      <c r="DK598" s="399">
        <v>0</v>
      </c>
      <c r="DL598" s="399">
        <v>0</v>
      </c>
      <c r="DM598" s="399"/>
      <c r="DN598" s="399">
        <v>0</v>
      </c>
      <c r="DO598" s="399">
        <v>0</v>
      </c>
      <c r="DP598" s="399">
        <v>0</v>
      </c>
      <c r="DQ598" s="399">
        <v>0</v>
      </c>
      <c r="DR598" s="399">
        <v>0</v>
      </c>
      <c r="DS598" s="399"/>
      <c r="DT598" s="399"/>
      <c r="DU598" s="399">
        <v>5454.4943053208253</v>
      </c>
      <c r="DV598" s="399"/>
      <c r="DW598" s="399">
        <v>0</v>
      </c>
      <c r="DX598" s="399">
        <v>0</v>
      </c>
      <c r="DY598" s="399">
        <v>-2372.5</v>
      </c>
      <c r="DZ598" s="399"/>
      <c r="EA598" s="399">
        <v>0</v>
      </c>
      <c r="EB598" s="399"/>
      <c r="EC598" s="399">
        <v>-2356.4472704828254</v>
      </c>
      <c r="ED598" s="399"/>
      <c r="EE598" s="399">
        <v>0</v>
      </c>
      <c r="EF598" s="399">
        <v>0</v>
      </c>
      <c r="EG598" s="399"/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/>
      <c r="EN598" s="399"/>
      <c r="EO598" s="399">
        <v>0</v>
      </c>
      <c r="EP598" s="399">
        <v>0</v>
      </c>
      <c r="EQ598" s="399"/>
      <c r="ER598" s="399">
        <v>0</v>
      </c>
      <c r="ES598" s="399"/>
      <c r="ET598" s="399">
        <v>0</v>
      </c>
      <c r="EU598" s="399"/>
      <c r="EV598" s="399">
        <v>218</v>
      </c>
      <c r="EW598" s="399"/>
      <c r="EX598" s="399"/>
      <c r="EY598" s="399"/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604</v>
      </c>
      <c r="B599" s="399" t="s">
        <v>956</v>
      </c>
      <c r="C599" s="399" t="s">
        <v>2328</v>
      </c>
      <c r="D599" s="399" t="s">
        <v>1826</v>
      </c>
      <c r="E599" s="399" t="s">
        <v>2336</v>
      </c>
      <c r="F599" s="399" t="s">
        <v>1239</v>
      </c>
      <c r="G599" s="399" t="s">
        <v>1239</v>
      </c>
      <c r="H599" s="399" t="s">
        <v>1239</v>
      </c>
      <c r="I599" s="399" t="s">
        <v>1239</v>
      </c>
      <c r="J599" s="399" t="s">
        <v>2329</v>
      </c>
      <c r="K599" s="789">
        <v>44774</v>
      </c>
      <c r="L599" s="399">
        <v>0</v>
      </c>
      <c r="M599" s="399">
        <v>0</v>
      </c>
      <c r="N599" s="399">
        <v>103.979</v>
      </c>
      <c r="O599" s="399">
        <v>103.979</v>
      </c>
      <c r="P599" s="399">
        <v>103.979</v>
      </c>
      <c r="Q599" s="399">
        <v>103.979</v>
      </c>
      <c r="R599" s="399"/>
      <c r="S599" s="399">
        <v>521.86</v>
      </c>
      <c r="T599" s="399">
        <v>141.32</v>
      </c>
      <c r="U599" s="399"/>
      <c r="V599" s="399">
        <v>68956.793219999992</v>
      </c>
      <c r="W599" s="399">
        <v>68956.793219999992</v>
      </c>
      <c r="X599" s="399">
        <v>53895.43507</v>
      </c>
      <c r="Y599" s="399">
        <v>0</v>
      </c>
      <c r="Z599" s="399">
        <v>6309.1382014341216</v>
      </c>
      <c r="AA599" s="399">
        <v>0</v>
      </c>
      <c r="AB599" s="399">
        <v>0</v>
      </c>
      <c r="AC599" s="399">
        <v>0</v>
      </c>
      <c r="AD599" s="399">
        <v>11183.336801371726</v>
      </c>
      <c r="AE599" s="399">
        <v>33788.05869854414</v>
      </c>
      <c r="AF599" s="399">
        <v>14694.201025795874</v>
      </c>
      <c r="AG599" s="399">
        <v>0</v>
      </c>
      <c r="AH599" s="399">
        <v>0</v>
      </c>
      <c r="AI599" s="399">
        <v>0</v>
      </c>
      <c r="AJ599" s="399">
        <v>0</v>
      </c>
      <c r="AK599" s="399">
        <v>0</v>
      </c>
      <c r="AL599" s="399">
        <v>975.53018245378883</v>
      </c>
      <c r="AM599" s="399"/>
      <c r="AN599" s="399">
        <v>144.20501088112499</v>
      </c>
      <c r="AO599" s="399">
        <v>0</v>
      </c>
      <c r="AP599" s="399">
        <v>0</v>
      </c>
      <c r="AQ599" s="399">
        <v>0</v>
      </c>
      <c r="AR599" s="399">
        <v>0</v>
      </c>
      <c r="AS599" s="399">
        <v>0</v>
      </c>
      <c r="AT599" s="399">
        <v>0</v>
      </c>
      <c r="AU599" s="399">
        <v>0</v>
      </c>
      <c r="AV599" s="399">
        <v>0</v>
      </c>
      <c r="AW599" s="399">
        <v>0</v>
      </c>
      <c r="AX599" s="399">
        <v>0</v>
      </c>
      <c r="AY599" s="399">
        <v>0</v>
      </c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>
        <v>0</v>
      </c>
      <c r="BG599" s="399">
        <v>1861.7333902854259</v>
      </c>
      <c r="BH599" s="399">
        <v>0</v>
      </c>
      <c r="BI599" s="399">
        <v>363.45</v>
      </c>
      <c r="BJ599" s="399">
        <v>1678.26</v>
      </c>
      <c r="BK599" s="399">
        <v>9517.6299999999992</v>
      </c>
      <c r="BL599" s="399">
        <v>159</v>
      </c>
      <c r="BM599" s="399"/>
      <c r="BN599" s="399"/>
      <c r="BO599" s="399"/>
      <c r="BP599" s="399"/>
      <c r="BQ599" s="399"/>
      <c r="BR599" s="399"/>
      <c r="BS599" s="399"/>
      <c r="BT599" s="399"/>
      <c r="BU599" s="399"/>
      <c r="BV599" s="399">
        <v>16555.934416081298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53895.953399999999</v>
      </c>
      <c r="CJ599" s="399">
        <v>-15060.869820000007</v>
      </c>
      <c r="CK599" s="399"/>
      <c r="CL599" s="399"/>
      <c r="CM599" s="399"/>
      <c r="CN599" s="399"/>
      <c r="CO599" s="399">
        <v>-15061.358150000002</v>
      </c>
      <c r="CP599" s="399">
        <v>0</v>
      </c>
      <c r="CQ599" s="399">
        <v>31</v>
      </c>
      <c r="CR599" s="399">
        <v>-463.30311487861036</v>
      </c>
      <c r="CS599" s="399">
        <v>0</v>
      </c>
      <c r="CT599" s="399">
        <v>0</v>
      </c>
      <c r="CU599" s="399">
        <v>0</v>
      </c>
      <c r="CV599" s="399">
        <v>0</v>
      </c>
      <c r="CW599" s="399">
        <v>0</v>
      </c>
      <c r="CX599" s="399">
        <v>0</v>
      </c>
      <c r="CY599" s="399">
        <v>0</v>
      </c>
      <c r="CZ599" s="399">
        <v>-53.262913430204208</v>
      </c>
      <c r="DA599" s="399">
        <v>0</v>
      </c>
      <c r="DB599" s="399">
        <v>0</v>
      </c>
      <c r="DC599" s="399">
        <v>0</v>
      </c>
      <c r="DD599" s="399">
        <v>0</v>
      </c>
      <c r="DE599" s="399">
        <v>0</v>
      </c>
      <c r="DF599" s="399">
        <v>0</v>
      </c>
      <c r="DG599" s="399">
        <v>0</v>
      </c>
      <c r="DH599" s="399">
        <v>0</v>
      </c>
      <c r="DI599" s="399">
        <v>-355.47994615659081</v>
      </c>
      <c r="DJ599" s="399"/>
      <c r="DK599" s="399">
        <v>0</v>
      </c>
      <c r="DL599" s="399">
        <v>0</v>
      </c>
      <c r="DM599" s="399">
        <v>0</v>
      </c>
      <c r="DN599" s="399">
        <v>0</v>
      </c>
      <c r="DO599" s="399">
        <v>-48.745489628598307</v>
      </c>
      <c r="DP599" s="399">
        <v>-5.8147656632147005</v>
      </c>
      <c r="DQ599" s="399">
        <v>0</v>
      </c>
      <c r="DR599" s="399">
        <v>0</v>
      </c>
      <c r="DS599" s="399"/>
      <c r="DT599" s="399"/>
      <c r="DU599" s="399"/>
      <c r="DV599" s="399">
        <v>33788.05869854414</v>
      </c>
      <c r="DW599" s="399">
        <v>0</v>
      </c>
      <c r="DX599" s="399">
        <v>0</v>
      </c>
      <c r="DY599" s="399">
        <v>-15061.35815</v>
      </c>
      <c r="DZ599" s="399">
        <v>0</v>
      </c>
      <c r="EA599" s="399">
        <v>0</v>
      </c>
      <c r="EB599" s="399">
        <v>0</v>
      </c>
      <c r="EC599" s="399">
        <v>-14597.096309630218</v>
      </c>
      <c r="ED599" s="399">
        <v>0</v>
      </c>
      <c r="EE599" s="399">
        <v>0</v>
      </c>
      <c r="EF599" s="399">
        <v>0</v>
      </c>
      <c r="EG599" s="399">
        <v>0</v>
      </c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>
        <v>0</v>
      </c>
      <c r="EN599" s="399">
        <v>0</v>
      </c>
      <c r="EO599" s="399">
        <v>0</v>
      </c>
      <c r="EP599" s="399">
        <v>0</v>
      </c>
      <c r="EQ599" s="399">
        <v>0</v>
      </c>
      <c r="ER599" s="399">
        <v>0</v>
      </c>
      <c r="ES599" s="399">
        <v>0</v>
      </c>
      <c r="ET599" s="399">
        <v>0</v>
      </c>
      <c r="EU599" s="399">
        <v>0</v>
      </c>
      <c r="EV599" s="399">
        <v>218</v>
      </c>
      <c r="EW599" s="399">
        <v>0</v>
      </c>
      <c r="EX599" s="399">
        <v>0</v>
      </c>
      <c r="EY599" s="399">
        <v>0</v>
      </c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605</v>
      </c>
      <c r="B600" s="399" t="s">
        <v>956</v>
      </c>
      <c r="C600" s="399" t="s">
        <v>2328</v>
      </c>
      <c r="D600" s="399" t="s">
        <v>2337</v>
      </c>
      <c r="E600" s="399" t="s">
        <v>2338</v>
      </c>
      <c r="F600" s="399" t="s">
        <v>2339</v>
      </c>
      <c r="G600" s="399" t="s">
        <v>1239</v>
      </c>
      <c r="H600" s="399" t="s">
        <v>1239</v>
      </c>
      <c r="I600" s="399" t="s">
        <v>1239</v>
      </c>
      <c r="J600" s="399" t="s">
        <v>2329</v>
      </c>
      <c r="K600" s="789">
        <v>44774</v>
      </c>
      <c r="L600" s="399">
        <v>0</v>
      </c>
      <c r="M600" s="399">
        <v>0</v>
      </c>
      <c r="N600" s="399">
        <v>80.777000000000001</v>
      </c>
      <c r="O600" s="399">
        <v>80.777000000000001</v>
      </c>
      <c r="P600" s="399">
        <v>80.777000000000001</v>
      </c>
      <c r="Q600" s="399">
        <v>80.777000000000001</v>
      </c>
      <c r="R600" s="399"/>
      <c r="S600" s="399">
        <v>287.02</v>
      </c>
      <c r="T600" s="399">
        <v>77.73</v>
      </c>
      <c r="U600" s="399"/>
      <c r="V600" s="399">
        <v>29463.410749999999</v>
      </c>
      <c r="W600" s="399">
        <v>29463.410749999999</v>
      </c>
      <c r="X600" s="399">
        <v>23028.714930000002</v>
      </c>
      <c r="Y600" s="399">
        <v>0</v>
      </c>
      <c r="Z600" s="399">
        <v>2695.7202038246555</v>
      </c>
      <c r="AA600" s="399">
        <v>0</v>
      </c>
      <c r="AB600" s="399">
        <v>0</v>
      </c>
      <c r="AC600" s="399">
        <v>0</v>
      </c>
      <c r="AD600" s="399">
        <v>4778.3304152032997</v>
      </c>
      <c r="AE600" s="399">
        <v>14436.702695936345</v>
      </c>
      <c r="AF600" s="399">
        <v>6278.4255661565621</v>
      </c>
      <c r="AG600" s="399">
        <v>0</v>
      </c>
      <c r="AH600" s="399">
        <v>0</v>
      </c>
      <c r="AI600" s="399">
        <v>0</v>
      </c>
      <c r="AJ600" s="399">
        <v>0</v>
      </c>
      <c r="AK600" s="399">
        <v>0</v>
      </c>
      <c r="AL600" s="399">
        <v>416.81705778511406</v>
      </c>
      <c r="AM600" s="399"/>
      <c r="AN600" s="399">
        <v>61.614811550116563</v>
      </c>
      <c r="AO600" s="399">
        <v>0</v>
      </c>
      <c r="AP600" s="399">
        <v>0</v>
      </c>
      <c r="AQ600" s="399">
        <v>0</v>
      </c>
      <c r="AR600" s="399">
        <v>0</v>
      </c>
      <c r="AS600" s="399">
        <v>0</v>
      </c>
      <c r="AT600" s="399">
        <v>0</v>
      </c>
      <c r="AU600" s="399">
        <v>0</v>
      </c>
      <c r="AV600" s="399">
        <v>0</v>
      </c>
      <c r="AW600" s="399">
        <v>0</v>
      </c>
      <c r="AX600" s="399">
        <v>0</v>
      </c>
      <c r="AY600" s="399">
        <v>0</v>
      </c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>
        <v>0</v>
      </c>
      <c r="BG600" s="399">
        <v>795.46717064885297</v>
      </c>
      <c r="BH600" s="399">
        <v>0</v>
      </c>
      <c r="BI600" s="399">
        <v>155.34</v>
      </c>
      <c r="BJ600" s="399">
        <v>717.05</v>
      </c>
      <c r="BK600" s="399">
        <v>4895.42</v>
      </c>
      <c r="BL600" s="399">
        <v>7</v>
      </c>
      <c r="BM600" s="399"/>
      <c r="BN600" s="399"/>
      <c r="BO600" s="399"/>
      <c r="BP600" s="399"/>
      <c r="BQ600" s="399"/>
      <c r="BR600" s="399"/>
      <c r="BS600" s="399"/>
      <c r="BT600" s="399"/>
      <c r="BU600" s="399"/>
      <c r="BV600" s="399">
        <v>7073.8927368054156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23029.570200000002</v>
      </c>
      <c r="CJ600" s="399">
        <v>-6433.8705499999924</v>
      </c>
      <c r="CK600" s="399"/>
      <c r="CL600" s="399"/>
      <c r="CM600" s="399"/>
      <c r="CN600" s="399"/>
      <c r="CO600" s="399">
        <v>-6434.6958199999972</v>
      </c>
      <c r="CP600" s="399">
        <v>0</v>
      </c>
      <c r="CQ600" s="399">
        <v>31</v>
      </c>
      <c r="CR600" s="399">
        <v>-197.95660316798057</v>
      </c>
      <c r="CS600" s="399">
        <v>0</v>
      </c>
      <c r="CT600" s="399">
        <v>0</v>
      </c>
      <c r="CU600" s="399">
        <v>0</v>
      </c>
      <c r="CV600" s="399">
        <v>0</v>
      </c>
      <c r="CW600" s="399">
        <v>0</v>
      </c>
      <c r="CX600" s="399">
        <v>0</v>
      </c>
      <c r="CY600" s="399">
        <v>0</v>
      </c>
      <c r="CZ600" s="399">
        <v>-22.75776932827921</v>
      </c>
      <c r="DA600" s="399">
        <v>0</v>
      </c>
      <c r="DB600" s="399">
        <v>0</v>
      </c>
      <c r="DC600" s="399">
        <v>0</v>
      </c>
      <c r="DD600" s="399">
        <v>0</v>
      </c>
      <c r="DE600" s="399">
        <v>0</v>
      </c>
      <c r="DF600" s="399">
        <v>0</v>
      </c>
      <c r="DG600" s="399">
        <v>0</v>
      </c>
      <c r="DH600" s="399">
        <v>0</v>
      </c>
      <c r="DI600" s="399">
        <v>-151.88674622644612</v>
      </c>
      <c r="DJ600" s="399"/>
      <c r="DK600" s="399">
        <v>0</v>
      </c>
      <c r="DL600" s="399">
        <v>0</v>
      </c>
      <c r="DM600" s="399">
        <v>0</v>
      </c>
      <c r="DN600" s="399">
        <v>0</v>
      </c>
      <c r="DO600" s="399">
        <v>-20.82759911762156</v>
      </c>
      <c r="DP600" s="399">
        <v>-2.484488495635226</v>
      </c>
      <c r="DQ600" s="399">
        <v>0</v>
      </c>
      <c r="DR600" s="399">
        <v>0</v>
      </c>
      <c r="DS600" s="399"/>
      <c r="DT600" s="399"/>
      <c r="DU600" s="399"/>
      <c r="DV600" s="399">
        <v>14436.702695936345</v>
      </c>
      <c r="DW600" s="399">
        <v>0</v>
      </c>
      <c r="DX600" s="399">
        <v>0</v>
      </c>
      <c r="DY600" s="399">
        <v>-6434.6958199999972</v>
      </c>
      <c r="DZ600" s="399">
        <v>0</v>
      </c>
      <c r="EA600" s="399">
        <v>0</v>
      </c>
      <c r="EB600" s="399">
        <v>0</v>
      </c>
      <c r="EC600" s="399">
        <v>-6236.9354074539351</v>
      </c>
      <c r="ED600" s="399">
        <v>0</v>
      </c>
      <c r="EE600" s="399">
        <v>0</v>
      </c>
      <c r="EF600" s="399">
        <v>0</v>
      </c>
      <c r="EG600" s="399">
        <v>0</v>
      </c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>
        <v>0</v>
      </c>
      <c r="EN600" s="399">
        <v>0</v>
      </c>
      <c r="EO600" s="399">
        <v>0</v>
      </c>
      <c r="EP600" s="399">
        <v>0</v>
      </c>
      <c r="EQ600" s="399">
        <v>0</v>
      </c>
      <c r="ER600" s="399">
        <v>0</v>
      </c>
      <c r="ES600" s="399">
        <v>0</v>
      </c>
      <c r="ET600" s="399">
        <v>0</v>
      </c>
      <c r="EU600" s="399">
        <v>0</v>
      </c>
      <c r="EV600" s="399">
        <v>218</v>
      </c>
      <c r="EW600" s="399">
        <v>0</v>
      </c>
      <c r="EX600" s="399">
        <v>0</v>
      </c>
      <c r="EY600" s="399">
        <v>0</v>
      </c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606</v>
      </c>
      <c r="B601" s="399" t="s">
        <v>956</v>
      </c>
      <c r="C601" s="399" t="s">
        <v>2328</v>
      </c>
      <c r="D601" s="399" t="s">
        <v>1826</v>
      </c>
      <c r="E601" s="399" t="s">
        <v>921</v>
      </c>
      <c r="F601" s="399" t="s">
        <v>2362</v>
      </c>
      <c r="G601" s="399" t="s">
        <v>1239</v>
      </c>
      <c r="H601" s="399" t="s">
        <v>1239</v>
      </c>
      <c r="I601" s="399" t="s">
        <v>1239</v>
      </c>
      <c r="J601" s="399" t="s">
        <v>2329</v>
      </c>
      <c r="K601" s="789">
        <v>44774</v>
      </c>
      <c r="L601" s="399">
        <v>0</v>
      </c>
      <c r="M601" s="399">
        <v>0</v>
      </c>
      <c r="N601" s="399">
        <v>48.137999999999998</v>
      </c>
      <c r="O601" s="399">
        <v>45.249720000000003</v>
      </c>
      <c r="P601" s="399">
        <v>48.137999999999998</v>
      </c>
      <c r="Q601" s="399">
        <v>45.249720000000003</v>
      </c>
      <c r="R601" s="399"/>
      <c r="S601" s="399">
        <v>521.86</v>
      </c>
      <c r="T601" s="399">
        <v>141.32</v>
      </c>
      <c r="U601" s="399"/>
      <c r="V601" s="399">
        <v>31924.15884</v>
      </c>
      <c r="W601" s="399">
        <v>31924.15884</v>
      </c>
      <c r="X601" s="399">
        <v>24951.36954</v>
      </c>
      <c r="Y601" s="399">
        <v>0</v>
      </c>
      <c r="Z601" s="399">
        <v>2920.8714715532533</v>
      </c>
      <c r="AA601" s="399">
        <v>0</v>
      </c>
      <c r="AB601" s="399">
        <v>0</v>
      </c>
      <c r="AC601" s="399">
        <v>0</v>
      </c>
      <c r="AD601" s="399">
        <v>5177.424931423001</v>
      </c>
      <c r="AE601" s="399">
        <v>15642.48136287633</v>
      </c>
      <c r="AF601" s="399">
        <v>6802.8106538797429</v>
      </c>
      <c r="AG601" s="399">
        <v>0</v>
      </c>
      <c r="AH601" s="399">
        <v>0</v>
      </c>
      <c r="AI601" s="399">
        <v>0</v>
      </c>
      <c r="AJ601" s="399">
        <v>0</v>
      </c>
      <c r="AK601" s="399">
        <v>0</v>
      </c>
      <c r="AL601" s="399">
        <v>451.63034769482761</v>
      </c>
      <c r="AM601" s="399"/>
      <c r="AN601" s="399">
        <v>66.760988409155644</v>
      </c>
      <c r="AO601" s="399">
        <v>0</v>
      </c>
      <c r="AP601" s="399">
        <v>0</v>
      </c>
      <c r="AQ601" s="399">
        <v>0</v>
      </c>
      <c r="AR601" s="399">
        <v>0</v>
      </c>
      <c r="AS601" s="399">
        <v>0</v>
      </c>
      <c r="AT601" s="399">
        <v>0</v>
      </c>
      <c r="AU601" s="399">
        <v>0</v>
      </c>
      <c r="AV601" s="399">
        <v>0</v>
      </c>
      <c r="AW601" s="399">
        <v>0</v>
      </c>
      <c r="AX601" s="399">
        <v>0</v>
      </c>
      <c r="AY601" s="399">
        <v>0</v>
      </c>
      <c r="AZ601" s="399">
        <v>0</v>
      </c>
      <c r="BA601" s="399"/>
      <c r="BB601" s="399">
        <v>0</v>
      </c>
      <c r="BC601" s="399">
        <v>0</v>
      </c>
      <c r="BD601" s="399">
        <v>0</v>
      </c>
      <c r="BE601" s="399">
        <v>0</v>
      </c>
      <c r="BF601" s="399">
        <v>0</v>
      </c>
      <c r="BG601" s="399">
        <v>861.90598045335912</v>
      </c>
      <c r="BH601" s="399">
        <v>0</v>
      </c>
      <c r="BI601" s="399">
        <v>168.33</v>
      </c>
      <c r="BJ601" s="399">
        <v>776.9</v>
      </c>
      <c r="BK601" s="399">
        <v>5304.13</v>
      </c>
      <c r="BL601" s="399">
        <v>20</v>
      </c>
      <c r="BM601" s="399"/>
      <c r="BN601" s="399"/>
      <c r="BO601" s="399"/>
      <c r="BP601" s="399"/>
      <c r="BQ601" s="399">
        <v>1497.0821723999973</v>
      </c>
      <c r="BR601" s="399"/>
      <c r="BS601" s="399"/>
      <c r="BT601" s="399"/>
      <c r="BU601" s="399"/>
      <c r="BV601" s="399">
        <v>7664.7166343331019</v>
      </c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>
        <v>23454.432499999999</v>
      </c>
      <c r="CJ601" s="399">
        <v>-6554.3068095999988</v>
      </c>
      <c r="CK601" s="399"/>
      <c r="CL601" s="399"/>
      <c r="CM601" s="399"/>
      <c r="CN601" s="399"/>
      <c r="CO601" s="399">
        <v>-6972.7893000000013</v>
      </c>
      <c r="CP601" s="399">
        <v>0</v>
      </c>
      <c r="CQ601" s="399">
        <v>31</v>
      </c>
      <c r="CR601" s="399">
        <v>-214.49028500011082</v>
      </c>
      <c r="CS601" s="399">
        <v>0</v>
      </c>
      <c r="CT601" s="399">
        <v>0</v>
      </c>
      <c r="CU601" s="399">
        <v>0</v>
      </c>
      <c r="CV601" s="399">
        <v>0</v>
      </c>
      <c r="CW601" s="399">
        <v>0</v>
      </c>
      <c r="CX601" s="399">
        <v>0</v>
      </c>
      <c r="CY601" s="399">
        <v>0</v>
      </c>
      <c r="CZ601" s="399">
        <v>-24.658538038481311</v>
      </c>
      <c r="DA601" s="399">
        <v>0</v>
      </c>
      <c r="DB601" s="399">
        <v>0</v>
      </c>
      <c r="DC601" s="399">
        <v>0</v>
      </c>
      <c r="DD601" s="399">
        <v>0</v>
      </c>
      <c r="DE601" s="399">
        <v>0</v>
      </c>
      <c r="DF601" s="399">
        <v>0</v>
      </c>
      <c r="DG601" s="399">
        <v>0</v>
      </c>
      <c r="DH601" s="399">
        <v>0</v>
      </c>
      <c r="DI601" s="399">
        <v>-164.57259300518353</v>
      </c>
      <c r="DJ601" s="399"/>
      <c r="DK601" s="399">
        <v>0</v>
      </c>
      <c r="DL601" s="399">
        <v>0</v>
      </c>
      <c r="DM601" s="399">
        <v>0</v>
      </c>
      <c r="DN601" s="399">
        <v>0</v>
      </c>
      <c r="DO601" s="399">
        <v>-22.567156634911498</v>
      </c>
      <c r="DP601" s="399">
        <v>-2.6919973215344299</v>
      </c>
      <c r="DQ601" s="399">
        <v>0</v>
      </c>
      <c r="DR601" s="399">
        <v>0</v>
      </c>
      <c r="DS601" s="399"/>
      <c r="DT601" s="399"/>
      <c r="DU601" s="399"/>
      <c r="DV601" s="399">
        <v>15642.48136287633</v>
      </c>
      <c r="DW601" s="399">
        <v>0</v>
      </c>
      <c r="DX601" s="399">
        <v>0</v>
      </c>
      <c r="DY601" s="399">
        <v>-6972.7893000000004</v>
      </c>
      <c r="DZ601" s="399">
        <v>0</v>
      </c>
      <c r="EA601" s="399">
        <v>0</v>
      </c>
      <c r="EB601" s="399">
        <v>0</v>
      </c>
      <c r="EC601" s="399">
        <v>-6757.8551645330263</v>
      </c>
      <c r="ED601" s="399">
        <v>0</v>
      </c>
      <c r="EE601" s="399">
        <v>0</v>
      </c>
      <c r="EF601" s="399">
        <v>0</v>
      </c>
      <c r="EG601" s="399">
        <v>0</v>
      </c>
      <c r="EH601" s="399">
        <v>0</v>
      </c>
      <c r="EI601" s="399">
        <v>0</v>
      </c>
      <c r="EJ601" s="399">
        <v>0</v>
      </c>
      <c r="EK601" s="399">
        <v>0</v>
      </c>
      <c r="EL601" s="399">
        <v>0</v>
      </c>
      <c r="EM601" s="399">
        <v>0</v>
      </c>
      <c r="EN601" s="399">
        <v>0</v>
      </c>
      <c r="EO601" s="399">
        <v>0</v>
      </c>
      <c r="EP601" s="399">
        <v>0</v>
      </c>
      <c r="EQ601" s="399">
        <v>0</v>
      </c>
      <c r="ER601" s="399">
        <v>0</v>
      </c>
      <c r="ES601" s="399">
        <v>0</v>
      </c>
      <c r="ET601" s="399">
        <v>0</v>
      </c>
      <c r="EU601" s="399">
        <v>0</v>
      </c>
      <c r="EV601" s="399">
        <v>218</v>
      </c>
      <c r="EW601" s="399">
        <v>0</v>
      </c>
      <c r="EX601" s="399">
        <v>0</v>
      </c>
      <c r="EY601" s="399">
        <v>0</v>
      </c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607</v>
      </c>
      <c r="B602" s="399" t="s">
        <v>956</v>
      </c>
      <c r="C602" s="399" t="s">
        <v>2398</v>
      </c>
      <c r="D602" s="399" t="s">
        <v>533</v>
      </c>
      <c r="E602" s="399" t="s">
        <v>921</v>
      </c>
      <c r="F602" s="399" t="s">
        <v>2362</v>
      </c>
      <c r="G602" s="399" t="s">
        <v>1239</v>
      </c>
      <c r="H602" s="399" t="s">
        <v>1239</v>
      </c>
      <c r="I602" s="399" t="s">
        <v>893</v>
      </c>
      <c r="J602" s="399" t="s">
        <v>2329</v>
      </c>
      <c r="K602" s="789">
        <v>44774</v>
      </c>
      <c r="L602" s="399">
        <v>510</v>
      </c>
      <c r="M602" s="399">
        <v>479.4</v>
      </c>
      <c r="N602" s="399">
        <v>23.26</v>
      </c>
      <c r="O602" s="399">
        <v>21.8644</v>
      </c>
      <c r="P602" s="399">
        <v>23.26</v>
      </c>
      <c r="Q602" s="399">
        <v>21.8644</v>
      </c>
      <c r="R602" s="399">
        <v>111.06</v>
      </c>
      <c r="S602" s="399">
        <v>69.680000000000007</v>
      </c>
      <c r="T602" s="399">
        <v>141.32</v>
      </c>
      <c r="U602" s="399">
        <v>56640.6</v>
      </c>
      <c r="V602" s="399">
        <v>4907.8600000000006</v>
      </c>
      <c r="W602" s="399">
        <v>61548.46</v>
      </c>
      <c r="X602" s="399">
        <v>44184.080399999999</v>
      </c>
      <c r="Y602" s="399">
        <v>0</v>
      </c>
      <c r="Z602" s="399">
        <v>1227.8727673074486</v>
      </c>
      <c r="AA602" s="399">
        <v>0</v>
      </c>
      <c r="AB602" s="399">
        <v>0</v>
      </c>
      <c r="AC602" s="399">
        <v>0</v>
      </c>
      <c r="AD602" s="399">
        <v>16821.41261540541</v>
      </c>
      <c r="AE602" s="399">
        <v>39820.420304539119</v>
      </c>
      <c r="AF602" s="399">
        <v>3287.0783125439948</v>
      </c>
      <c r="AG602" s="399">
        <v>0</v>
      </c>
      <c r="AH602" s="399">
        <v>0</v>
      </c>
      <c r="AI602" s="399">
        <v>0</v>
      </c>
      <c r="AJ602" s="399">
        <v>0</v>
      </c>
      <c r="AK602" s="399">
        <v>0</v>
      </c>
      <c r="AL602" s="399">
        <v>218.22514203709525</v>
      </c>
      <c r="AM602" s="399"/>
      <c r="AN602" s="399">
        <v>13.973268513197047</v>
      </c>
      <c r="AO602" s="399">
        <v>0</v>
      </c>
      <c r="AP602" s="399">
        <v>0</v>
      </c>
      <c r="AQ602" s="399">
        <v>0</v>
      </c>
      <c r="AR602" s="399">
        <v>0</v>
      </c>
      <c r="AS602" s="399">
        <v>0</v>
      </c>
      <c r="AT602" s="399">
        <v>0</v>
      </c>
      <c r="AU602" s="399">
        <v>0</v>
      </c>
      <c r="AV602" s="399">
        <v>0</v>
      </c>
      <c r="AW602" s="399">
        <v>0</v>
      </c>
      <c r="AX602" s="399">
        <v>0</v>
      </c>
      <c r="AY602" s="399">
        <v>0</v>
      </c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>
        <v>0</v>
      </c>
      <c r="BG602" s="399">
        <v>160.79541296222013</v>
      </c>
      <c r="BH602" s="399">
        <v>0</v>
      </c>
      <c r="BI602" s="399">
        <v>0</v>
      </c>
      <c r="BJ602" s="399">
        <v>0</v>
      </c>
      <c r="BK602" s="399">
        <v>0</v>
      </c>
      <c r="BL602" s="399">
        <v>0</v>
      </c>
      <c r="BM602" s="399"/>
      <c r="BN602" s="399"/>
      <c r="BO602" s="399"/>
      <c r="BP602" s="399"/>
      <c r="BQ602" s="399">
        <v>2651.0448240000019</v>
      </c>
      <c r="BR602" s="399"/>
      <c r="BS602" s="399"/>
      <c r="BT602" s="399"/>
      <c r="BU602" s="399"/>
      <c r="BV602" s="399">
        <v>3447.8737255062151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41532.1224</v>
      </c>
      <c r="CJ602" s="399">
        <v>-16323.460000000006</v>
      </c>
      <c r="CK602" s="399"/>
      <c r="CL602" s="399"/>
      <c r="CM602" s="399"/>
      <c r="CN602" s="399"/>
      <c r="CO602" s="399">
        <v>-17364.3796</v>
      </c>
      <c r="CP602" s="399">
        <v>0</v>
      </c>
      <c r="CQ602" s="399">
        <v>31</v>
      </c>
      <c r="CR602" s="399">
        <v>-160.76600316560507</v>
      </c>
      <c r="CS602" s="399">
        <v>0</v>
      </c>
      <c r="CT602" s="399">
        <v>0</v>
      </c>
      <c r="CU602" s="399">
        <v>0</v>
      </c>
      <c r="CV602" s="399">
        <v>0</v>
      </c>
      <c r="CW602" s="399">
        <v>0</v>
      </c>
      <c r="CX602" s="399">
        <v>0</v>
      </c>
      <c r="CY602" s="399">
        <v>0</v>
      </c>
      <c r="CZ602" s="399">
        <v>-80.115394879172527</v>
      </c>
      <c r="DA602" s="399">
        <v>0</v>
      </c>
      <c r="DB602" s="399">
        <v>0</v>
      </c>
      <c r="DC602" s="399">
        <v>0</v>
      </c>
      <c r="DD602" s="399">
        <v>0</v>
      </c>
      <c r="DE602" s="399">
        <v>0</v>
      </c>
      <c r="DF602" s="399">
        <v>0</v>
      </c>
      <c r="DG602" s="399">
        <v>0</v>
      </c>
      <c r="DH602" s="399">
        <v>0</v>
      </c>
      <c r="DI602" s="399">
        <v>-69.182847367393833</v>
      </c>
      <c r="DJ602" s="399"/>
      <c r="DK602" s="399">
        <v>0</v>
      </c>
      <c r="DL602" s="399">
        <v>0</v>
      </c>
      <c r="DM602" s="399">
        <v>0</v>
      </c>
      <c r="DN602" s="399">
        <v>0</v>
      </c>
      <c r="DO602" s="399">
        <v>-10.904318071545163</v>
      </c>
      <c r="DP602" s="399">
        <v>-0.56344284749165752</v>
      </c>
      <c r="DQ602" s="399">
        <v>0</v>
      </c>
      <c r="DR602" s="399">
        <v>0</v>
      </c>
      <c r="DS602" s="399"/>
      <c r="DT602" s="399"/>
      <c r="DU602" s="399">
        <v>39820.420304539119</v>
      </c>
      <c r="DV602" s="399">
        <v>0</v>
      </c>
      <c r="DW602" s="399">
        <v>0</v>
      </c>
      <c r="DX602" s="399">
        <v>0</v>
      </c>
      <c r="DY602" s="399">
        <v>-17364.3796</v>
      </c>
      <c r="DZ602" s="399">
        <v>0</v>
      </c>
      <c r="EA602" s="399">
        <v>0</v>
      </c>
      <c r="EB602" s="399">
        <v>0</v>
      </c>
      <c r="EC602" s="399">
        <v>-17203.19345545461</v>
      </c>
      <c r="ED602" s="399">
        <v>0</v>
      </c>
      <c r="EE602" s="399">
        <v>0</v>
      </c>
      <c r="EF602" s="399">
        <v>0</v>
      </c>
      <c r="EG602" s="399">
        <v>0</v>
      </c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>
        <v>0</v>
      </c>
      <c r="EN602" s="399">
        <v>0</v>
      </c>
      <c r="EO602" s="399">
        <v>0</v>
      </c>
      <c r="EP602" s="399">
        <v>0</v>
      </c>
      <c r="EQ602" s="399">
        <v>0</v>
      </c>
      <c r="ER602" s="399">
        <v>0</v>
      </c>
      <c r="ES602" s="399">
        <v>0</v>
      </c>
      <c r="ET602" s="399">
        <v>0</v>
      </c>
      <c r="EU602" s="399">
        <v>0</v>
      </c>
      <c r="EV602" s="399">
        <v>218</v>
      </c>
      <c r="EW602" s="399">
        <v>0</v>
      </c>
      <c r="EX602" s="399">
        <v>0</v>
      </c>
      <c r="EY602" s="399">
        <v>0</v>
      </c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608</v>
      </c>
      <c r="B603" s="399" t="s">
        <v>956</v>
      </c>
      <c r="C603" s="399" t="s">
        <v>2398</v>
      </c>
      <c r="D603" s="399" t="s">
        <v>533</v>
      </c>
      <c r="E603" s="399" t="s">
        <v>921</v>
      </c>
      <c r="F603" s="399" t="s">
        <v>2362</v>
      </c>
      <c r="G603" s="399" t="s">
        <v>1239</v>
      </c>
      <c r="H603" s="399" t="s">
        <v>1239</v>
      </c>
      <c r="I603" s="399" t="s">
        <v>2326</v>
      </c>
      <c r="J603" s="399" t="s">
        <v>2329</v>
      </c>
      <c r="K603" s="789">
        <v>44774</v>
      </c>
      <c r="L603" s="399">
        <v>490</v>
      </c>
      <c r="M603" s="399">
        <v>460.6</v>
      </c>
      <c r="N603" s="399">
        <v>204.32599999999999</v>
      </c>
      <c r="O603" s="399">
        <v>192.06644</v>
      </c>
      <c r="P603" s="399">
        <v>204.32599999999999</v>
      </c>
      <c r="Q603" s="399">
        <v>192.06644</v>
      </c>
      <c r="R603" s="399">
        <v>35.15</v>
      </c>
      <c r="S603" s="399">
        <v>69.680000000000007</v>
      </c>
      <c r="T603" s="399">
        <v>141.32</v>
      </c>
      <c r="U603" s="399">
        <v>17223.5</v>
      </c>
      <c r="V603" s="399">
        <v>43112.786</v>
      </c>
      <c r="W603" s="399">
        <v>60336.286</v>
      </c>
      <c r="X603" s="399">
        <v>54979.218039999992</v>
      </c>
      <c r="Y603" s="399">
        <v>0</v>
      </c>
      <c r="Z603" s="399">
        <v>10786.170724542637</v>
      </c>
      <c r="AA603" s="399">
        <v>0</v>
      </c>
      <c r="AB603" s="399">
        <v>0</v>
      </c>
      <c r="AC603" s="399">
        <v>0</v>
      </c>
      <c r="AD603" s="399">
        <v>6532.3729133372008</v>
      </c>
      <c r="AE603" s="399">
        <v>10690.808838428817</v>
      </c>
      <c r="AF603" s="399">
        <v>28875.131697715573</v>
      </c>
      <c r="AG603" s="399">
        <v>0</v>
      </c>
      <c r="AH603" s="399">
        <v>0</v>
      </c>
      <c r="AI603" s="399">
        <v>0</v>
      </c>
      <c r="AJ603" s="399">
        <v>0</v>
      </c>
      <c r="AK603" s="399">
        <v>0</v>
      </c>
      <c r="AL603" s="399">
        <v>1916.9849686961102</v>
      </c>
      <c r="AM603" s="399"/>
      <c r="AN603" s="399">
        <v>122.74729416283317</v>
      </c>
      <c r="AO603" s="399">
        <v>0</v>
      </c>
      <c r="AP603" s="399">
        <v>0</v>
      </c>
      <c r="AQ603" s="399">
        <v>0</v>
      </c>
      <c r="AR603" s="399">
        <v>0</v>
      </c>
      <c r="AS603" s="399">
        <v>0</v>
      </c>
      <c r="AT603" s="399">
        <v>0</v>
      </c>
      <c r="AU603" s="399">
        <v>0</v>
      </c>
      <c r="AV603" s="399">
        <v>0</v>
      </c>
      <c r="AW603" s="399">
        <v>0</v>
      </c>
      <c r="AX603" s="399">
        <v>0</v>
      </c>
      <c r="AY603" s="399">
        <v>0</v>
      </c>
      <c r="AZ603" s="399">
        <v>0</v>
      </c>
      <c r="BA603" s="399"/>
      <c r="BB603" s="399">
        <v>0</v>
      </c>
      <c r="BC603" s="399">
        <v>0</v>
      </c>
      <c r="BD603" s="399">
        <v>0</v>
      </c>
      <c r="BE603" s="399">
        <v>0</v>
      </c>
      <c r="BF603" s="399">
        <v>0</v>
      </c>
      <c r="BG603" s="399">
        <v>1412.497143117738</v>
      </c>
      <c r="BH603" s="399">
        <v>0</v>
      </c>
      <c r="BI603" s="399">
        <v>0</v>
      </c>
      <c r="BJ603" s="399">
        <v>0</v>
      </c>
      <c r="BK603" s="399">
        <v>0</v>
      </c>
      <c r="BL603" s="399">
        <v>0</v>
      </c>
      <c r="BM603" s="399"/>
      <c r="BN603" s="399"/>
      <c r="BO603" s="399"/>
      <c r="BP603" s="399"/>
      <c r="BQ603" s="399">
        <v>3298.7530823999982</v>
      </c>
      <c r="BR603" s="399"/>
      <c r="BS603" s="399"/>
      <c r="BT603" s="399"/>
      <c r="BU603" s="399"/>
      <c r="BV603" s="399">
        <v>30287.628840833309</v>
      </c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>
        <v>51681.203800000003</v>
      </c>
      <c r="CJ603" s="399">
        <v>-5034.9350399999967</v>
      </c>
      <c r="CK603" s="399"/>
      <c r="CL603" s="399"/>
      <c r="CM603" s="399"/>
      <c r="CN603" s="399"/>
      <c r="CO603" s="399">
        <v>-5357.0679600000012</v>
      </c>
      <c r="CP603" s="399">
        <v>0</v>
      </c>
      <c r="CQ603" s="399">
        <v>31</v>
      </c>
      <c r="CR603" s="399">
        <v>-739.58192454695381</v>
      </c>
      <c r="CS603" s="399">
        <v>0</v>
      </c>
      <c r="CT603" s="399">
        <v>0</v>
      </c>
      <c r="CU603" s="399">
        <v>0</v>
      </c>
      <c r="CV603" s="399">
        <v>0</v>
      </c>
      <c r="CW603" s="399">
        <v>0</v>
      </c>
      <c r="CX603" s="399">
        <v>0</v>
      </c>
      <c r="CY603" s="399">
        <v>0</v>
      </c>
      <c r="CZ603" s="399">
        <v>-31.111753062284151</v>
      </c>
      <c r="DA603" s="399">
        <v>0</v>
      </c>
      <c r="DB603" s="399">
        <v>0</v>
      </c>
      <c r="DC603" s="399">
        <v>0</v>
      </c>
      <c r="DD603" s="399">
        <v>0</v>
      </c>
      <c r="DE603" s="399">
        <v>0</v>
      </c>
      <c r="DF603" s="399">
        <v>0</v>
      </c>
      <c r="DG603" s="399">
        <v>0</v>
      </c>
      <c r="DH603" s="399">
        <v>0</v>
      </c>
      <c r="DI603" s="399">
        <v>-607.73235043809655</v>
      </c>
      <c r="DJ603" s="399"/>
      <c r="DK603" s="399">
        <v>0</v>
      </c>
      <c r="DL603" s="399">
        <v>0</v>
      </c>
      <c r="DM603" s="399">
        <v>0</v>
      </c>
      <c r="DN603" s="399">
        <v>0</v>
      </c>
      <c r="DO603" s="399">
        <v>-95.788292961588013</v>
      </c>
      <c r="DP603" s="399">
        <v>-4.9495280849776577</v>
      </c>
      <c r="DQ603" s="399">
        <v>0</v>
      </c>
      <c r="DR603" s="399">
        <v>0</v>
      </c>
      <c r="DS603" s="399"/>
      <c r="DT603" s="399"/>
      <c r="DU603" s="399">
        <v>10690.808838428817</v>
      </c>
      <c r="DV603" s="399">
        <v>0</v>
      </c>
      <c r="DW603" s="399">
        <v>0</v>
      </c>
      <c r="DX603" s="399">
        <v>0</v>
      </c>
      <c r="DY603" s="399">
        <v>-5357.0679600000039</v>
      </c>
      <c r="DZ603" s="399">
        <v>0</v>
      </c>
      <c r="EA603" s="399">
        <v>0</v>
      </c>
      <c r="EB603" s="399">
        <v>0</v>
      </c>
      <c r="EC603" s="399">
        <v>-4618.6366501463372</v>
      </c>
      <c r="ED603" s="399">
        <v>0</v>
      </c>
      <c r="EE603" s="399">
        <v>0</v>
      </c>
      <c r="EF603" s="399">
        <v>0</v>
      </c>
      <c r="EG603" s="399">
        <v>0</v>
      </c>
      <c r="EH603" s="399">
        <v>0</v>
      </c>
      <c r="EI603" s="399">
        <v>0</v>
      </c>
      <c r="EJ603" s="399">
        <v>0</v>
      </c>
      <c r="EK603" s="399">
        <v>0</v>
      </c>
      <c r="EL603" s="399">
        <v>0</v>
      </c>
      <c r="EM603" s="399">
        <v>0</v>
      </c>
      <c r="EN603" s="399">
        <v>0</v>
      </c>
      <c r="EO603" s="399">
        <v>0</v>
      </c>
      <c r="EP603" s="399">
        <v>0</v>
      </c>
      <c r="EQ603" s="399">
        <v>0</v>
      </c>
      <c r="ER603" s="399">
        <v>0</v>
      </c>
      <c r="ES603" s="399">
        <v>0</v>
      </c>
      <c r="ET603" s="399">
        <v>0</v>
      </c>
      <c r="EU603" s="399">
        <v>0</v>
      </c>
      <c r="EV603" s="399">
        <v>218</v>
      </c>
      <c r="EW603" s="399">
        <v>0</v>
      </c>
      <c r="EX603" s="399">
        <v>0</v>
      </c>
      <c r="EY603" s="399">
        <v>0</v>
      </c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609</v>
      </c>
      <c r="B604" s="399" t="s">
        <v>956</v>
      </c>
      <c r="C604" s="399" t="s">
        <v>2398</v>
      </c>
      <c r="D604" s="399" t="s">
        <v>533</v>
      </c>
      <c r="E604" s="399" t="s">
        <v>921</v>
      </c>
      <c r="F604" s="399" t="s">
        <v>2362</v>
      </c>
      <c r="G604" s="399" t="s">
        <v>1239</v>
      </c>
      <c r="H604" s="399" t="s">
        <v>1239</v>
      </c>
      <c r="I604" s="399" t="s">
        <v>1239</v>
      </c>
      <c r="J604" s="399" t="s">
        <v>2329</v>
      </c>
      <c r="K604" s="789">
        <v>44774</v>
      </c>
      <c r="L604" s="399">
        <v>0</v>
      </c>
      <c r="M604" s="399">
        <v>0</v>
      </c>
      <c r="N604" s="399">
        <v>0</v>
      </c>
      <c r="O604" s="399">
        <v>0</v>
      </c>
      <c r="P604" s="399">
        <v>0</v>
      </c>
      <c r="Q604" s="399">
        <v>0</v>
      </c>
      <c r="R604" s="399"/>
      <c r="S604" s="399"/>
      <c r="T604" s="399"/>
      <c r="U604" s="399"/>
      <c r="V604" s="399"/>
      <c r="W604" s="399"/>
      <c r="X604" s="399"/>
      <c r="Y604" s="399"/>
      <c r="Z604" s="399"/>
      <c r="AA604" s="399">
        <v>0</v>
      </c>
      <c r="AB604" s="399"/>
      <c r="AC604" s="399"/>
      <c r="AD604" s="399"/>
      <c r="AE604" s="399"/>
      <c r="AF604" s="399"/>
      <c r="AG604" s="399"/>
      <c r="AH604" s="399"/>
      <c r="AI604" s="399"/>
      <c r="AJ604" s="399"/>
      <c r="AK604" s="399"/>
      <c r="AL604" s="399"/>
      <c r="AM604" s="399"/>
      <c r="AN604" s="399"/>
      <c r="AO604" s="399"/>
      <c r="AP604" s="399"/>
      <c r="AQ604" s="399"/>
      <c r="AR604" s="399"/>
      <c r="AS604" s="399"/>
      <c r="AT604" s="399"/>
      <c r="AU604" s="399"/>
      <c r="AV604" s="399"/>
      <c r="AW604" s="399"/>
      <c r="AX604" s="399"/>
      <c r="AY604" s="399"/>
      <c r="AZ604" s="399">
        <v>0</v>
      </c>
      <c r="BA604" s="399"/>
      <c r="BB604" s="399"/>
      <c r="BC604" s="399"/>
      <c r="BD604" s="399"/>
      <c r="BE604" s="399"/>
      <c r="BF604" s="399"/>
      <c r="BG604" s="399"/>
      <c r="BH604" s="399"/>
      <c r="BI604" s="399">
        <v>713.39</v>
      </c>
      <c r="BJ604" s="399">
        <v>3292.57</v>
      </c>
      <c r="BK604" s="399">
        <v>18282.37</v>
      </c>
      <c r="BL604" s="399">
        <v>2</v>
      </c>
      <c r="BM604" s="399"/>
      <c r="BN604" s="399"/>
      <c r="BO604" s="399"/>
      <c r="BP604" s="399"/>
      <c r="BQ604" s="399"/>
      <c r="BR604" s="399"/>
      <c r="BS604" s="399"/>
      <c r="BT604" s="399"/>
      <c r="BU604" s="399"/>
      <c r="BV604" s="399"/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/>
      <c r="CJ604" s="399">
        <v>-0.03</v>
      </c>
      <c r="CK604" s="399"/>
      <c r="CL604" s="399"/>
      <c r="CM604" s="399"/>
      <c r="CN604" s="399"/>
      <c r="CO604" s="399">
        <v>0</v>
      </c>
      <c r="CP604" s="399">
        <v>0</v>
      </c>
      <c r="CQ604" s="399">
        <v>31</v>
      </c>
      <c r="CR604" s="399"/>
      <c r="CS604" s="399"/>
      <c r="CT604" s="399"/>
      <c r="CU604" s="399"/>
      <c r="CV604" s="399"/>
      <c r="CW604" s="399"/>
      <c r="CX604" s="399"/>
      <c r="CY604" s="399"/>
      <c r="CZ604" s="399"/>
      <c r="DA604" s="399"/>
      <c r="DB604" s="399"/>
      <c r="DC604" s="399"/>
      <c r="DD604" s="399"/>
      <c r="DE604" s="399"/>
      <c r="DF604" s="399"/>
      <c r="DG604" s="399"/>
      <c r="DH604" s="399"/>
      <c r="DI604" s="399"/>
      <c r="DJ604" s="399"/>
      <c r="DK604" s="399">
        <v>0</v>
      </c>
      <c r="DL604" s="399"/>
      <c r="DM604" s="399"/>
      <c r="DN604" s="399"/>
      <c r="DO604" s="399"/>
      <c r="DP604" s="399"/>
      <c r="DQ604" s="399"/>
      <c r="DR604" s="399"/>
      <c r="DS604" s="399"/>
      <c r="DT604" s="399"/>
      <c r="DU604" s="399"/>
      <c r="DV604" s="399"/>
      <c r="DW604" s="399"/>
      <c r="DX604" s="399"/>
      <c r="DY604" s="399"/>
      <c r="DZ604" s="399"/>
      <c r="EA604" s="399"/>
      <c r="EB604" s="399"/>
      <c r="EC604" s="399"/>
      <c r="ED604" s="399"/>
      <c r="EE604" s="399"/>
      <c r="EF604" s="399"/>
      <c r="EG604" s="399"/>
      <c r="EH604" s="399"/>
      <c r="EI604" s="399"/>
      <c r="EJ604" s="399"/>
      <c r="EK604" s="399"/>
      <c r="EL604" s="399"/>
      <c r="EM604" s="399"/>
      <c r="EN604" s="399"/>
      <c r="EO604" s="399"/>
      <c r="EP604" s="399"/>
      <c r="EQ604" s="399"/>
      <c r="ER604" s="399"/>
      <c r="ES604" s="399"/>
      <c r="ET604" s="399"/>
      <c r="EU604" s="399"/>
      <c r="EV604" s="399">
        <v>218</v>
      </c>
      <c r="EW604" s="399"/>
      <c r="EX604" s="399"/>
      <c r="EY604" s="399"/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610</v>
      </c>
      <c r="B605" s="399" t="s">
        <v>956</v>
      </c>
      <c r="C605" s="399" t="s">
        <v>2334</v>
      </c>
      <c r="D605" s="399" t="s">
        <v>533</v>
      </c>
      <c r="E605" s="399" t="s">
        <v>921</v>
      </c>
      <c r="F605" s="399" t="s">
        <v>2362</v>
      </c>
      <c r="G605" s="399" t="s">
        <v>1239</v>
      </c>
      <c r="H605" s="399" t="s">
        <v>1239</v>
      </c>
      <c r="I605" s="399" t="s">
        <v>893</v>
      </c>
      <c r="J605" s="399" t="s">
        <v>2329</v>
      </c>
      <c r="K605" s="789">
        <v>44774</v>
      </c>
      <c r="L605" s="399">
        <v>0</v>
      </c>
      <c r="M605" s="399">
        <v>0</v>
      </c>
      <c r="N605" s="399">
        <v>2.86</v>
      </c>
      <c r="O605" s="399">
        <v>2.6884000000000001</v>
      </c>
      <c r="P605" s="399">
        <v>2.86</v>
      </c>
      <c r="Q605" s="399">
        <v>2.6884000000000001</v>
      </c>
      <c r="R605" s="399"/>
      <c r="S605" s="399">
        <v>2741.05</v>
      </c>
      <c r="T605" s="399">
        <v>141.32</v>
      </c>
      <c r="U605" s="399"/>
      <c r="V605" s="399">
        <v>8243.5781999999999</v>
      </c>
      <c r="W605" s="399">
        <v>8243.5781999999999</v>
      </c>
      <c r="X605" s="399">
        <v>5902.6967999999997</v>
      </c>
      <c r="Y605" s="399">
        <v>0</v>
      </c>
      <c r="Z605" s="399">
        <v>150.97661713238617</v>
      </c>
      <c r="AA605" s="399">
        <v>0</v>
      </c>
      <c r="AB605" s="399">
        <v>0</v>
      </c>
      <c r="AC605" s="399">
        <v>0</v>
      </c>
      <c r="AD605" s="399">
        <v>2269.58583030612</v>
      </c>
      <c r="AE605" s="399">
        <v>5370.5329863390634</v>
      </c>
      <c r="AF605" s="399">
        <v>404.17213989147996</v>
      </c>
      <c r="AG605" s="399">
        <v>0</v>
      </c>
      <c r="AH605" s="399">
        <v>0</v>
      </c>
      <c r="AI605" s="399">
        <v>0</v>
      </c>
      <c r="AJ605" s="399">
        <v>0</v>
      </c>
      <c r="AK605" s="399">
        <v>0</v>
      </c>
      <c r="AL605" s="399">
        <v>26.832498118060723</v>
      </c>
      <c r="AM605" s="399"/>
      <c r="AN605" s="399">
        <v>1.7181232995590521</v>
      </c>
      <c r="AO605" s="399">
        <v>0</v>
      </c>
      <c r="AP605" s="399">
        <v>0</v>
      </c>
      <c r="AQ605" s="399">
        <v>0</v>
      </c>
      <c r="AR605" s="399">
        <v>0</v>
      </c>
      <c r="AS605" s="399">
        <v>0</v>
      </c>
      <c r="AT605" s="399">
        <v>0</v>
      </c>
      <c r="AU605" s="399">
        <v>0</v>
      </c>
      <c r="AV605" s="399">
        <v>0</v>
      </c>
      <c r="AW605" s="399">
        <v>0</v>
      </c>
      <c r="AX605" s="399">
        <v>0</v>
      </c>
      <c r="AY605" s="399">
        <v>0</v>
      </c>
      <c r="AZ605" s="399">
        <v>0</v>
      </c>
      <c r="BA605" s="399"/>
      <c r="BB605" s="399">
        <v>0</v>
      </c>
      <c r="BC605" s="399">
        <v>0</v>
      </c>
      <c r="BD605" s="399">
        <v>0</v>
      </c>
      <c r="BE605" s="399">
        <v>0</v>
      </c>
      <c r="BF605" s="399">
        <v>0</v>
      </c>
      <c r="BG605" s="399">
        <v>19.771061095096712</v>
      </c>
      <c r="BH605" s="399">
        <v>0</v>
      </c>
      <c r="BI605" s="399">
        <v>0</v>
      </c>
      <c r="BJ605" s="399">
        <v>0</v>
      </c>
      <c r="BK605" s="399">
        <v>0</v>
      </c>
      <c r="BL605" s="399">
        <v>0</v>
      </c>
      <c r="BM605" s="399"/>
      <c r="BN605" s="399"/>
      <c r="BO605" s="399"/>
      <c r="BP605" s="399"/>
      <c r="BQ605" s="399">
        <v>354.1618079999995</v>
      </c>
      <c r="BR605" s="399"/>
      <c r="BS605" s="399"/>
      <c r="BT605" s="399"/>
      <c r="BU605" s="399"/>
      <c r="BV605" s="399">
        <v>423.9432009865767</v>
      </c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>
        <v>5551.8371999999999</v>
      </c>
      <c r="CJ605" s="399">
        <v>-2197.1563080000014</v>
      </c>
      <c r="CK605" s="399"/>
      <c r="CL605" s="399"/>
      <c r="CM605" s="399"/>
      <c r="CN605" s="399"/>
      <c r="CO605" s="399">
        <v>-2340.8814000000007</v>
      </c>
      <c r="CP605" s="399">
        <v>0</v>
      </c>
      <c r="CQ605" s="399">
        <v>31</v>
      </c>
      <c r="CR605" s="399">
        <v>-20.725990401254876</v>
      </c>
      <c r="CS605" s="399">
        <v>0</v>
      </c>
      <c r="CT605" s="399">
        <v>0</v>
      </c>
      <c r="CU605" s="399">
        <v>0</v>
      </c>
      <c r="CV605" s="399">
        <v>0</v>
      </c>
      <c r="CW605" s="399">
        <v>0</v>
      </c>
      <c r="CX605" s="399">
        <v>0</v>
      </c>
      <c r="CY605" s="399">
        <v>0</v>
      </c>
      <c r="CZ605" s="399">
        <v>-10.809363587016378</v>
      </c>
      <c r="DA605" s="399">
        <v>0</v>
      </c>
      <c r="DB605" s="399">
        <v>0</v>
      </c>
      <c r="DC605" s="399">
        <v>0</v>
      </c>
      <c r="DD605" s="399">
        <v>0</v>
      </c>
      <c r="DE605" s="399">
        <v>0</v>
      </c>
      <c r="DF605" s="399">
        <v>0</v>
      </c>
      <c r="DG605" s="399">
        <v>0</v>
      </c>
      <c r="DH605" s="399">
        <v>0</v>
      </c>
      <c r="DI605" s="399">
        <v>-8.5065753856726474</v>
      </c>
      <c r="DJ605" s="399"/>
      <c r="DK605" s="399">
        <v>0</v>
      </c>
      <c r="DL605" s="399">
        <v>0</v>
      </c>
      <c r="DM605" s="399">
        <v>0</v>
      </c>
      <c r="DN605" s="399">
        <v>0</v>
      </c>
      <c r="DO605" s="399">
        <v>-1.3407716975330715</v>
      </c>
      <c r="DP605" s="399">
        <v>-6.9279731032938274E-2</v>
      </c>
      <c r="DQ605" s="399">
        <v>0</v>
      </c>
      <c r="DR605" s="399">
        <v>0</v>
      </c>
      <c r="DS605" s="399"/>
      <c r="DT605" s="399"/>
      <c r="DU605" s="399"/>
      <c r="DV605" s="399">
        <v>5370.5329863390634</v>
      </c>
      <c r="DW605" s="399">
        <v>0</v>
      </c>
      <c r="DX605" s="399">
        <v>0</v>
      </c>
      <c r="DY605" s="399">
        <v>-2340.8814000000002</v>
      </c>
      <c r="DZ605" s="399">
        <v>0</v>
      </c>
      <c r="EA605" s="399">
        <v>0</v>
      </c>
      <c r="EB605" s="399">
        <v>0</v>
      </c>
      <c r="EC605" s="399">
        <v>-2320.1743531662414</v>
      </c>
      <c r="ED605" s="399">
        <v>0</v>
      </c>
      <c r="EE605" s="399">
        <v>0</v>
      </c>
      <c r="EF605" s="399">
        <v>0</v>
      </c>
      <c r="EG605" s="399">
        <v>0</v>
      </c>
      <c r="EH605" s="399">
        <v>0</v>
      </c>
      <c r="EI605" s="399">
        <v>0</v>
      </c>
      <c r="EJ605" s="399">
        <v>0</v>
      </c>
      <c r="EK605" s="399">
        <v>0</v>
      </c>
      <c r="EL605" s="399">
        <v>0</v>
      </c>
      <c r="EM605" s="399">
        <v>0</v>
      </c>
      <c r="EN605" s="399">
        <v>0</v>
      </c>
      <c r="EO605" s="399">
        <v>0</v>
      </c>
      <c r="EP605" s="399">
        <v>0</v>
      </c>
      <c r="EQ605" s="399">
        <v>0</v>
      </c>
      <c r="ER605" s="399">
        <v>0</v>
      </c>
      <c r="ES605" s="399">
        <v>0</v>
      </c>
      <c r="ET605" s="399">
        <v>0</v>
      </c>
      <c r="EU605" s="399">
        <v>0</v>
      </c>
      <c r="EV605" s="399">
        <v>218</v>
      </c>
      <c r="EW605" s="399">
        <v>0</v>
      </c>
      <c r="EX605" s="399">
        <v>0</v>
      </c>
      <c r="EY605" s="399">
        <v>0</v>
      </c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611</v>
      </c>
      <c r="B606" s="399" t="s">
        <v>956</v>
      </c>
      <c r="C606" s="399" t="s">
        <v>2334</v>
      </c>
      <c r="D606" s="399" t="s">
        <v>533</v>
      </c>
      <c r="E606" s="399" t="s">
        <v>921</v>
      </c>
      <c r="F606" s="399" t="s">
        <v>2362</v>
      </c>
      <c r="G606" s="399" t="s">
        <v>1239</v>
      </c>
      <c r="H606" s="399" t="s">
        <v>1239</v>
      </c>
      <c r="I606" s="399" t="s">
        <v>2326</v>
      </c>
      <c r="J606" s="399" t="s">
        <v>2329</v>
      </c>
      <c r="K606" s="789">
        <v>44774</v>
      </c>
      <c r="L606" s="399">
        <v>0</v>
      </c>
      <c r="M606" s="399">
        <v>0</v>
      </c>
      <c r="N606" s="399">
        <v>26.152999999999999</v>
      </c>
      <c r="O606" s="399">
        <v>24.583819999999999</v>
      </c>
      <c r="P606" s="399">
        <v>26.152999999999999</v>
      </c>
      <c r="Q606" s="399">
        <v>24.583819999999999</v>
      </c>
      <c r="R606" s="399"/>
      <c r="S606" s="399">
        <v>69.680000000000007</v>
      </c>
      <c r="T606" s="399">
        <v>141.32</v>
      </c>
      <c r="U606" s="399"/>
      <c r="V606" s="399">
        <v>5518.2829999999994</v>
      </c>
      <c r="W606" s="399">
        <v>5518.2829999999994</v>
      </c>
      <c r="X606" s="399">
        <v>5427.7936199999995</v>
      </c>
      <c r="Y606" s="399">
        <v>0</v>
      </c>
      <c r="Z606" s="399">
        <v>1380.5914223298237</v>
      </c>
      <c r="AA606" s="399">
        <v>0</v>
      </c>
      <c r="AB606" s="399">
        <v>0</v>
      </c>
      <c r="AC606" s="399">
        <v>0</v>
      </c>
      <c r="AD606" s="399">
        <v>0</v>
      </c>
      <c r="AE606" s="399">
        <v>0</v>
      </c>
      <c r="AF606" s="399">
        <v>3695.91397712653</v>
      </c>
      <c r="AG606" s="399">
        <v>0</v>
      </c>
      <c r="AH606" s="399">
        <v>0</v>
      </c>
      <c r="AI606" s="399">
        <v>0</v>
      </c>
      <c r="AJ606" s="399">
        <v>0</v>
      </c>
      <c r="AK606" s="399">
        <v>0</v>
      </c>
      <c r="AL606" s="399">
        <v>245.36724590267204</v>
      </c>
      <c r="AM606" s="399"/>
      <c r="AN606" s="399">
        <v>15.711216312366394</v>
      </c>
      <c r="AO606" s="399">
        <v>0</v>
      </c>
      <c r="AP606" s="399">
        <v>0</v>
      </c>
      <c r="AQ606" s="399">
        <v>0</v>
      </c>
      <c r="AR606" s="399">
        <v>0</v>
      </c>
      <c r="AS606" s="399">
        <v>0</v>
      </c>
      <c r="AT606" s="399">
        <v>0</v>
      </c>
      <c r="AU606" s="399">
        <v>0</v>
      </c>
      <c r="AV606" s="399">
        <v>0</v>
      </c>
      <c r="AW606" s="399">
        <v>0</v>
      </c>
      <c r="AX606" s="399">
        <v>0</v>
      </c>
      <c r="AY606" s="399">
        <v>0</v>
      </c>
      <c r="AZ606" s="399">
        <v>0</v>
      </c>
      <c r="BA606" s="399"/>
      <c r="BB606" s="399">
        <v>0</v>
      </c>
      <c r="BC606" s="399">
        <v>0</v>
      </c>
      <c r="BD606" s="399">
        <v>0</v>
      </c>
      <c r="BE606" s="399">
        <v>0</v>
      </c>
      <c r="BF606" s="399">
        <v>0</v>
      </c>
      <c r="BG606" s="399">
        <v>180.79460168533717</v>
      </c>
      <c r="BH606" s="399">
        <v>0</v>
      </c>
      <c r="BI606" s="399">
        <v>0</v>
      </c>
      <c r="BJ606" s="399">
        <v>0</v>
      </c>
      <c r="BK606" s="399">
        <v>0</v>
      </c>
      <c r="BL606" s="399">
        <v>0</v>
      </c>
      <c r="BM606" s="399"/>
      <c r="BN606" s="399"/>
      <c r="BO606" s="399"/>
      <c r="BP606" s="399"/>
      <c r="BQ606" s="399">
        <v>325.66761719999988</v>
      </c>
      <c r="BR606" s="399"/>
      <c r="BS606" s="399"/>
      <c r="BT606" s="399"/>
      <c r="BU606" s="399"/>
      <c r="BV606" s="399">
        <v>3876.708578811867</v>
      </c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>
        <v>5101.3331999999991</v>
      </c>
      <c r="CJ606" s="399">
        <v>-85.88282000000072</v>
      </c>
      <c r="CK606" s="399"/>
      <c r="CL606" s="399"/>
      <c r="CM606" s="399"/>
      <c r="CN606" s="399"/>
      <c r="CO606" s="399">
        <v>-90.48938000000021</v>
      </c>
      <c r="CP606" s="399">
        <v>0</v>
      </c>
      <c r="CQ606" s="399">
        <v>31</v>
      </c>
      <c r="CR606" s="399">
        <v>-90.681657717756025</v>
      </c>
      <c r="CS606" s="399">
        <v>0</v>
      </c>
      <c r="CT606" s="399">
        <v>0</v>
      </c>
      <c r="CU606" s="399">
        <v>0</v>
      </c>
      <c r="CV606" s="399">
        <v>0</v>
      </c>
      <c r="CW606" s="399">
        <v>0</v>
      </c>
      <c r="CX606" s="399">
        <v>0</v>
      </c>
      <c r="CY606" s="399">
        <v>0</v>
      </c>
      <c r="CZ606" s="399">
        <v>0</v>
      </c>
      <c r="DA606" s="399">
        <v>0</v>
      </c>
      <c r="DB606" s="399">
        <v>0</v>
      </c>
      <c r="DC606" s="399">
        <v>0</v>
      </c>
      <c r="DD606" s="399">
        <v>0</v>
      </c>
      <c r="DE606" s="399">
        <v>0</v>
      </c>
      <c r="DF606" s="399">
        <v>0</v>
      </c>
      <c r="DG606" s="399">
        <v>0</v>
      </c>
      <c r="DH606" s="399">
        <v>0</v>
      </c>
      <c r="DI606" s="399">
        <v>-77.787575545977916</v>
      </c>
      <c r="DJ606" s="399"/>
      <c r="DK606" s="399">
        <v>0</v>
      </c>
      <c r="DL606" s="399">
        <v>0</v>
      </c>
      <c r="DM606" s="399">
        <v>0</v>
      </c>
      <c r="DN606" s="399">
        <v>0</v>
      </c>
      <c r="DO606" s="399">
        <v>-12.260560211742074</v>
      </c>
      <c r="DP606" s="399">
        <v>-0.63352196003651429</v>
      </c>
      <c r="DQ606" s="399">
        <v>0</v>
      </c>
      <c r="DR606" s="399">
        <v>0</v>
      </c>
      <c r="DS606" s="399"/>
      <c r="DT606" s="399"/>
      <c r="DU606" s="399"/>
      <c r="DV606" s="399">
        <v>0</v>
      </c>
      <c r="DW606" s="399">
        <v>0</v>
      </c>
      <c r="DX606" s="399">
        <v>0</v>
      </c>
      <c r="DY606" s="399">
        <v>-90.48938000000021</v>
      </c>
      <c r="DZ606" s="399">
        <v>0</v>
      </c>
      <c r="EA606" s="399">
        <v>0</v>
      </c>
      <c r="EB606" s="399">
        <v>0</v>
      </c>
      <c r="EC606" s="399">
        <v>0</v>
      </c>
      <c r="ED606" s="399">
        <v>0</v>
      </c>
      <c r="EE606" s="399">
        <v>0</v>
      </c>
      <c r="EF606" s="399">
        <v>0</v>
      </c>
      <c r="EG606" s="399">
        <v>0</v>
      </c>
      <c r="EH606" s="399">
        <v>0</v>
      </c>
      <c r="EI606" s="399">
        <v>0</v>
      </c>
      <c r="EJ606" s="399">
        <v>0</v>
      </c>
      <c r="EK606" s="399">
        <v>0</v>
      </c>
      <c r="EL606" s="399">
        <v>0</v>
      </c>
      <c r="EM606" s="399">
        <v>0</v>
      </c>
      <c r="EN606" s="399">
        <v>0</v>
      </c>
      <c r="EO606" s="399">
        <v>0</v>
      </c>
      <c r="EP606" s="399">
        <v>0</v>
      </c>
      <c r="EQ606" s="399">
        <v>0</v>
      </c>
      <c r="ER606" s="399">
        <v>0</v>
      </c>
      <c r="ES606" s="399">
        <v>0</v>
      </c>
      <c r="ET606" s="399">
        <v>0</v>
      </c>
      <c r="EU606" s="399">
        <v>0</v>
      </c>
      <c r="EV606" s="399">
        <v>218</v>
      </c>
      <c r="EW606" s="399">
        <v>0</v>
      </c>
      <c r="EX606" s="399">
        <v>0</v>
      </c>
      <c r="EY606" s="399">
        <v>0</v>
      </c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612</v>
      </c>
      <c r="B607" s="399" t="s">
        <v>956</v>
      </c>
      <c r="C607" s="399" t="s">
        <v>2334</v>
      </c>
      <c r="D607" s="399" t="s">
        <v>533</v>
      </c>
      <c r="E607" s="399" t="s">
        <v>921</v>
      </c>
      <c r="F607" s="399" t="s">
        <v>2362</v>
      </c>
      <c r="G607" s="399" t="s">
        <v>1239</v>
      </c>
      <c r="H607" s="399" t="s">
        <v>1239</v>
      </c>
      <c r="I607" s="399" t="s">
        <v>1239</v>
      </c>
      <c r="J607" s="399" t="s">
        <v>2329</v>
      </c>
      <c r="K607" s="789">
        <v>44774</v>
      </c>
      <c r="L607" s="399">
        <v>88</v>
      </c>
      <c r="M607" s="399">
        <v>82.72</v>
      </c>
      <c r="N607" s="399">
        <v>0</v>
      </c>
      <c r="O607" s="399">
        <v>0</v>
      </c>
      <c r="P607" s="399">
        <v>0</v>
      </c>
      <c r="Q607" s="399">
        <v>0</v>
      </c>
      <c r="R607" s="399">
        <v>35.15</v>
      </c>
      <c r="S607" s="399"/>
      <c r="T607" s="399"/>
      <c r="U607" s="399">
        <v>3093.2</v>
      </c>
      <c r="V607" s="399"/>
      <c r="W607" s="399">
        <v>3093.2</v>
      </c>
      <c r="X607" s="399">
        <v>2258.08</v>
      </c>
      <c r="Y607" s="399">
        <v>0</v>
      </c>
      <c r="Z607" s="399">
        <v>0</v>
      </c>
      <c r="AA607" s="399">
        <v>0</v>
      </c>
      <c r="AB607" s="399">
        <v>0</v>
      </c>
      <c r="AC607" s="399">
        <v>0</v>
      </c>
      <c r="AD607" s="399">
        <v>1173.1608497421912</v>
      </c>
      <c r="AE607" s="399">
        <v>1919.9819954729305</v>
      </c>
      <c r="AF607" s="399"/>
      <c r="AG607" s="399"/>
      <c r="AH607" s="399"/>
      <c r="AI607" s="399">
        <v>0</v>
      </c>
      <c r="AJ607" s="399">
        <v>0</v>
      </c>
      <c r="AK607" s="399">
        <v>0</v>
      </c>
      <c r="AL607" s="399">
        <v>0</v>
      </c>
      <c r="AM607" s="399"/>
      <c r="AN607" s="399">
        <v>0</v>
      </c>
      <c r="AO607" s="399">
        <v>0</v>
      </c>
      <c r="AP607" s="399">
        <v>0</v>
      </c>
      <c r="AQ607" s="399">
        <v>0</v>
      </c>
      <c r="AR607" s="399">
        <v>0</v>
      </c>
      <c r="AS607" s="399"/>
      <c r="AT607" s="399"/>
      <c r="AU607" s="399">
        <v>0</v>
      </c>
      <c r="AV607" s="399">
        <v>0</v>
      </c>
      <c r="AW607" s="399">
        <v>0</v>
      </c>
      <c r="AX607" s="399"/>
      <c r="AY607" s="399"/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/>
      <c r="BG607" s="399">
        <v>0</v>
      </c>
      <c r="BH607" s="399">
        <v>0</v>
      </c>
      <c r="BI607" s="399">
        <v>91.67</v>
      </c>
      <c r="BJ607" s="399">
        <v>423.1</v>
      </c>
      <c r="BK607" s="399">
        <v>2888.64</v>
      </c>
      <c r="BL607" s="399">
        <v>1</v>
      </c>
      <c r="BM607" s="399"/>
      <c r="BN607" s="399"/>
      <c r="BO607" s="399"/>
      <c r="BP607" s="399"/>
      <c r="BQ607" s="399">
        <v>135.48480000000004</v>
      </c>
      <c r="BR607" s="399"/>
      <c r="BS607" s="399"/>
      <c r="BT607" s="399"/>
      <c r="BU607" s="399"/>
      <c r="BV607" s="399">
        <v>0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2122.5952000000002</v>
      </c>
      <c r="CJ607" s="399">
        <v>-785.04280000000017</v>
      </c>
      <c r="CK607" s="399"/>
      <c r="CL607" s="399"/>
      <c r="CM607" s="399"/>
      <c r="CN607" s="399"/>
      <c r="CO607" s="399">
        <v>-835.11999999999989</v>
      </c>
      <c r="CP607" s="399">
        <v>0</v>
      </c>
      <c r="CQ607" s="399">
        <v>31</v>
      </c>
      <c r="CR607" s="399">
        <v>-5.5874168764919432</v>
      </c>
      <c r="CS607" s="399">
        <v>0</v>
      </c>
      <c r="CT607" s="399">
        <v>0</v>
      </c>
      <c r="CU607" s="399">
        <v>0</v>
      </c>
      <c r="CV607" s="399">
        <v>0</v>
      </c>
      <c r="CW607" s="399"/>
      <c r="CX607" s="399"/>
      <c r="CY607" s="399"/>
      <c r="CZ607" s="399">
        <v>-5.5874168764919432</v>
      </c>
      <c r="DA607" s="399">
        <v>0</v>
      </c>
      <c r="DB607" s="399">
        <v>0</v>
      </c>
      <c r="DC607" s="399"/>
      <c r="DD607" s="399"/>
      <c r="DE607" s="399">
        <v>0</v>
      </c>
      <c r="DF607" s="399">
        <v>0</v>
      </c>
      <c r="DG607" s="399">
        <v>0</v>
      </c>
      <c r="DH607" s="399">
        <v>0</v>
      </c>
      <c r="DI607" s="399">
        <v>0</v>
      </c>
      <c r="DJ607" s="399"/>
      <c r="DK607" s="399">
        <v>0</v>
      </c>
      <c r="DL607" s="399">
        <v>0</v>
      </c>
      <c r="DM607" s="399"/>
      <c r="DN607" s="399">
        <v>0</v>
      </c>
      <c r="DO607" s="399">
        <v>0</v>
      </c>
      <c r="DP607" s="399">
        <v>0</v>
      </c>
      <c r="DQ607" s="399">
        <v>0</v>
      </c>
      <c r="DR607" s="399">
        <v>0</v>
      </c>
      <c r="DS607" s="399"/>
      <c r="DT607" s="399"/>
      <c r="DU607" s="399">
        <v>1919.9819954729305</v>
      </c>
      <c r="DV607" s="399"/>
      <c r="DW607" s="399">
        <v>0</v>
      </c>
      <c r="DX607" s="399">
        <v>0</v>
      </c>
      <c r="DY607" s="399">
        <v>-835.11999999999989</v>
      </c>
      <c r="DZ607" s="399"/>
      <c r="EA607" s="399">
        <v>0</v>
      </c>
      <c r="EB607" s="399"/>
      <c r="EC607" s="399">
        <v>-829.46943920995454</v>
      </c>
      <c r="ED607" s="399"/>
      <c r="EE607" s="399">
        <v>0</v>
      </c>
      <c r="EF607" s="399">
        <v>0</v>
      </c>
      <c r="EG607" s="399"/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/>
      <c r="EN607" s="399"/>
      <c r="EO607" s="399">
        <v>0</v>
      </c>
      <c r="EP607" s="399">
        <v>0</v>
      </c>
      <c r="EQ607" s="399"/>
      <c r="ER607" s="399">
        <v>0</v>
      </c>
      <c r="ES607" s="399"/>
      <c r="ET607" s="399">
        <v>0</v>
      </c>
      <c r="EU607" s="399"/>
      <c r="EV607" s="399">
        <v>218</v>
      </c>
      <c r="EW607" s="399"/>
      <c r="EX607" s="399"/>
      <c r="EY607" s="399"/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613</v>
      </c>
      <c r="B608" s="399" t="s">
        <v>956</v>
      </c>
      <c r="C608" s="399" t="s">
        <v>2328</v>
      </c>
      <c r="D608" s="399" t="s">
        <v>2335</v>
      </c>
      <c r="E608" s="399" t="s">
        <v>894</v>
      </c>
      <c r="F608" s="399" t="s">
        <v>2363</v>
      </c>
      <c r="G608" s="399" t="s">
        <v>2340</v>
      </c>
      <c r="H608" s="399" t="s">
        <v>1239</v>
      </c>
      <c r="I608" s="399" t="s">
        <v>1239</v>
      </c>
      <c r="J608" s="399" t="s">
        <v>2329</v>
      </c>
      <c r="K608" s="789">
        <v>44774</v>
      </c>
      <c r="L608" s="399">
        <v>0</v>
      </c>
      <c r="M608" s="399">
        <v>0</v>
      </c>
      <c r="N608" s="399">
        <v>0</v>
      </c>
      <c r="O608" s="399">
        <v>0</v>
      </c>
      <c r="P608" s="399">
        <v>0</v>
      </c>
      <c r="Q608" s="399">
        <v>0</v>
      </c>
      <c r="R608" s="399"/>
      <c r="S608" s="399"/>
      <c r="T608" s="399"/>
      <c r="U608" s="399"/>
      <c r="V608" s="399"/>
      <c r="W608" s="399"/>
      <c r="X608" s="399"/>
      <c r="Y608" s="399"/>
      <c r="Z608" s="399"/>
      <c r="AA608" s="399">
        <v>0</v>
      </c>
      <c r="AB608" s="399"/>
      <c r="AC608" s="399"/>
      <c r="AD608" s="399"/>
      <c r="AE608" s="399"/>
      <c r="AF608" s="399"/>
      <c r="AG608" s="399"/>
      <c r="AH608" s="399"/>
      <c r="AI608" s="399"/>
      <c r="AJ608" s="399"/>
      <c r="AK608" s="399"/>
      <c r="AL608" s="399"/>
      <c r="AM608" s="399"/>
      <c r="AN608" s="399"/>
      <c r="AO608" s="399"/>
      <c r="AP608" s="399"/>
      <c r="AQ608" s="399"/>
      <c r="AR608" s="399"/>
      <c r="AS608" s="399"/>
      <c r="AT608" s="399"/>
      <c r="AU608" s="399"/>
      <c r="AV608" s="399"/>
      <c r="AW608" s="399"/>
      <c r="AX608" s="399"/>
      <c r="AY608" s="399"/>
      <c r="AZ608" s="399">
        <v>0</v>
      </c>
      <c r="BA608" s="399"/>
      <c r="BB608" s="399"/>
      <c r="BC608" s="399"/>
      <c r="BD608" s="399"/>
      <c r="BE608" s="399"/>
      <c r="BF608" s="399"/>
      <c r="BG608" s="399"/>
      <c r="BH608" s="399"/>
      <c r="BI608" s="399">
        <v>12.5</v>
      </c>
      <c r="BJ608" s="399">
        <v>57.86</v>
      </c>
      <c r="BK608" s="399">
        <v>264.06</v>
      </c>
      <c r="BL608" s="399">
        <v>23</v>
      </c>
      <c r="BM608" s="399"/>
      <c r="BN608" s="399"/>
      <c r="BO608" s="399"/>
      <c r="BP608" s="399"/>
      <c r="BQ608" s="399"/>
      <c r="BR608" s="399"/>
      <c r="BS608" s="399"/>
      <c r="BT608" s="399"/>
      <c r="BU608" s="399"/>
      <c r="BV608" s="399"/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/>
      <c r="CJ608" s="399">
        <v>-0.03</v>
      </c>
      <c r="CK608" s="399"/>
      <c r="CL608" s="399"/>
      <c r="CM608" s="399"/>
      <c r="CN608" s="399"/>
      <c r="CO608" s="399">
        <v>0</v>
      </c>
      <c r="CP608" s="399">
        <v>0</v>
      </c>
      <c r="CQ608" s="399">
        <v>31</v>
      </c>
      <c r="CR608" s="399"/>
      <c r="CS608" s="399"/>
      <c r="CT608" s="399"/>
      <c r="CU608" s="399"/>
      <c r="CV608" s="399"/>
      <c r="CW608" s="399"/>
      <c r="CX608" s="399"/>
      <c r="CY608" s="399"/>
      <c r="CZ608" s="399"/>
      <c r="DA608" s="399"/>
      <c r="DB608" s="399"/>
      <c r="DC608" s="399"/>
      <c r="DD608" s="399"/>
      <c r="DE608" s="399"/>
      <c r="DF608" s="399"/>
      <c r="DG608" s="399"/>
      <c r="DH608" s="399"/>
      <c r="DI608" s="399"/>
      <c r="DJ608" s="399"/>
      <c r="DK608" s="399">
        <v>0</v>
      </c>
      <c r="DL608" s="399"/>
      <c r="DM608" s="399"/>
      <c r="DN608" s="399"/>
      <c r="DO608" s="399"/>
      <c r="DP608" s="399"/>
      <c r="DQ608" s="399"/>
      <c r="DR608" s="399"/>
      <c r="DS608" s="399"/>
      <c r="DT608" s="399"/>
      <c r="DU608" s="399"/>
      <c r="DV608" s="399"/>
      <c r="DW608" s="399"/>
      <c r="DX608" s="399"/>
      <c r="DY608" s="399"/>
      <c r="DZ608" s="399"/>
      <c r="EA608" s="399"/>
      <c r="EB608" s="399"/>
      <c r="EC608" s="399"/>
      <c r="ED608" s="399"/>
      <c r="EE608" s="399"/>
      <c r="EF608" s="399"/>
      <c r="EG608" s="399"/>
      <c r="EH608" s="399"/>
      <c r="EI608" s="399"/>
      <c r="EJ608" s="399"/>
      <c r="EK608" s="399"/>
      <c r="EL608" s="399"/>
      <c r="EM608" s="399"/>
      <c r="EN608" s="399"/>
      <c r="EO608" s="399"/>
      <c r="EP608" s="399"/>
      <c r="EQ608" s="399"/>
      <c r="ER608" s="399"/>
      <c r="ES608" s="399"/>
      <c r="ET608" s="399"/>
      <c r="EU608" s="399"/>
      <c r="EV608" s="399">
        <v>218</v>
      </c>
      <c r="EW608" s="399"/>
      <c r="EX608" s="399"/>
      <c r="EY608" s="399"/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399">
        <v>614</v>
      </c>
      <c r="B609" s="399" t="s">
        <v>2361</v>
      </c>
      <c r="C609" s="399" t="s">
        <v>2328</v>
      </c>
      <c r="D609" s="399" t="s">
        <v>2335</v>
      </c>
      <c r="E609" s="399" t="s">
        <v>894</v>
      </c>
      <c r="F609" s="399" t="s">
        <v>2363</v>
      </c>
      <c r="G609" s="399" t="s">
        <v>2340</v>
      </c>
      <c r="H609" s="399" t="s">
        <v>1239</v>
      </c>
      <c r="I609" s="399" t="s">
        <v>1239</v>
      </c>
      <c r="J609" s="399" t="s">
        <v>2329</v>
      </c>
      <c r="K609" s="789">
        <v>44774</v>
      </c>
      <c r="L609" s="399">
        <v>0</v>
      </c>
      <c r="M609" s="399">
        <v>0</v>
      </c>
      <c r="N609" s="399">
        <v>0</v>
      </c>
      <c r="O609" s="399">
        <v>0</v>
      </c>
      <c r="P609" s="399">
        <v>0</v>
      </c>
      <c r="Q609" s="399">
        <v>0</v>
      </c>
      <c r="R609" s="399"/>
      <c r="S609" s="399"/>
      <c r="T609" s="399"/>
      <c r="U609" s="399"/>
      <c r="V609" s="399"/>
      <c r="W609" s="399"/>
      <c r="X609" s="399"/>
      <c r="Y609" s="399"/>
      <c r="Z609" s="399"/>
      <c r="AA609" s="399">
        <v>0</v>
      </c>
      <c r="AB609" s="399"/>
      <c r="AC609" s="399"/>
      <c r="AD609" s="399"/>
      <c r="AE609" s="399"/>
      <c r="AF609" s="399"/>
      <c r="AG609" s="399"/>
      <c r="AH609" s="399"/>
      <c r="AI609" s="399"/>
      <c r="AJ609" s="399"/>
      <c r="AK609" s="399"/>
      <c r="AL609" s="399"/>
      <c r="AM609" s="399"/>
      <c r="AN609" s="399"/>
      <c r="AO609" s="399"/>
      <c r="AP609" s="399"/>
      <c r="AQ609" s="399"/>
      <c r="AR609" s="399"/>
      <c r="AS609" s="399"/>
      <c r="AT609" s="399"/>
      <c r="AU609" s="399"/>
      <c r="AV609" s="399"/>
      <c r="AW609" s="399"/>
      <c r="AX609" s="399"/>
      <c r="AY609" s="399"/>
      <c r="AZ609" s="399">
        <v>0</v>
      </c>
      <c r="BA609" s="399"/>
      <c r="BB609" s="399"/>
      <c r="BC609" s="399"/>
      <c r="BD609" s="399"/>
      <c r="BE609" s="399"/>
      <c r="BF609" s="399"/>
      <c r="BG609" s="399"/>
      <c r="BH609" s="399"/>
      <c r="BI609" s="399">
        <v>0.35</v>
      </c>
      <c r="BJ609" s="399">
        <v>1.61</v>
      </c>
      <c r="BK609" s="399">
        <v>7.68</v>
      </c>
      <c r="BL609" s="399">
        <v>1</v>
      </c>
      <c r="BM609" s="399"/>
      <c r="BN609" s="399"/>
      <c r="BO609" s="399"/>
      <c r="BP609" s="399"/>
      <c r="BQ609" s="399"/>
      <c r="BR609" s="399"/>
      <c r="BS609" s="399"/>
      <c r="BT609" s="399"/>
      <c r="BU609" s="399"/>
      <c r="BV609" s="399"/>
      <c r="BW609" s="399"/>
      <c r="BX609" s="399"/>
      <c r="BY609" s="399"/>
      <c r="BZ609" s="399"/>
      <c r="CA609" s="399"/>
      <c r="CB609" s="399"/>
      <c r="CC609" s="399"/>
      <c r="CD609" s="399"/>
      <c r="CE609" s="399"/>
      <c r="CF609" s="399"/>
      <c r="CG609" s="399"/>
      <c r="CH609" s="399"/>
      <c r="CI609" s="399"/>
      <c r="CJ609" s="399">
        <v>-0.03</v>
      </c>
      <c r="CK609" s="399"/>
      <c r="CL609" s="399"/>
      <c r="CM609" s="399"/>
      <c r="CN609" s="399"/>
      <c r="CO609" s="399">
        <v>0</v>
      </c>
      <c r="CP609" s="399">
        <v>0</v>
      </c>
      <c r="CQ609" s="399">
        <v>31</v>
      </c>
      <c r="CR609" s="399"/>
      <c r="CS609" s="399"/>
      <c r="CT609" s="399"/>
      <c r="CU609" s="399"/>
      <c r="CV609" s="399"/>
      <c r="CW609" s="399"/>
      <c r="CX609" s="399"/>
      <c r="CY609" s="399"/>
      <c r="CZ609" s="399"/>
      <c r="DA609" s="399"/>
      <c r="DB609" s="399"/>
      <c r="DC609" s="399"/>
      <c r="DD609" s="399"/>
      <c r="DE609" s="399"/>
      <c r="DF609" s="399"/>
      <c r="DG609" s="399"/>
      <c r="DH609" s="399"/>
      <c r="DI609" s="399"/>
      <c r="DJ609" s="399"/>
      <c r="DK609" s="399">
        <v>0</v>
      </c>
      <c r="DL609" s="399"/>
      <c r="DM609" s="399"/>
      <c r="DN609" s="399"/>
      <c r="DO609" s="399"/>
      <c r="DP609" s="399"/>
      <c r="DQ609" s="399"/>
      <c r="DR609" s="399"/>
      <c r="DS609" s="399"/>
      <c r="DT609" s="399"/>
      <c r="DU609" s="399"/>
      <c r="DV609" s="399"/>
      <c r="DW609" s="399"/>
      <c r="DX609" s="399"/>
      <c r="DY609" s="399"/>
      <c r="DZ609" s="399"/>
      <c r="EA609" s="399"/>
      <c r="EB609" s="399"/>
      <c r="EC609" s="399"/>
      <c r="ED609" s="399"/>
      <c r="EE609" s="399"/>
      <c r="EF609" s="399"/>
      <c r="EG609" s="399"/>
      <c r="EH609" s="399"/>
      <c r="EI609" s="399"/>
      <c r="EJ609" s="399"/>
      <c r="EK609" s="399"/>
      <c r="EL609" s="399"/>
      <c r="EM609" s="399"/>
      <c r="EN609" s="399"/>
      <c r="EO609" s="399"/>
      <c r="EP609" s="399"/>
      <c r="EQ609" s="399"/>
      <c r="ER609" s="399"/>
      <c r="ES609" s="399"/>
      <c r="ET609" s="399"/>
      <c r="EU609" s="399"/>
      <c r="EV609" s="399">
        <v>218</v>
      </c>
      <c r="EW609" s="399"/>
      <c r="EX609" s="399"/>
      <c r="EY609" s="399"/>
      <c r="EZ609" s="399"/>
      <c r="FA609" s="399">
        <v>0</v>
      </c>
      <c r="FB609" s="399"/>
      <c r="FC609" s="399"/>
      <c r="FD609" s="399"/>
      <c r="FE609" s="399"/>
      <c r="FF609" s="399">
        <v>0</v>
      </c>
      <c r="FG609" s="399">
        <v>0</v>
      </c>
      <c r="FH609" s="399">
        <v>0</v>
      </c>
      <c r="FI609" s="399">
        <v>0</v>
      </c>
    </row>
    <row r="610" spans="1:165">
      <c r="A610" s="399">
        <v>615</v>
      </c>
      <c r="B610" s="399" t="s">
        <v>956</v>
      </c>
      <c r="C610" s="399" t="s">
        <v>2328</v>
      </c>
      <c r="D610" s="399" t="s">
        <v>2335</v>
      </c>
      <c r="E610" s="399" t="s">
        <v>894</v>
      </c>
      <c r="F610" s="399" t="s">
        <v>2363</v>
      </c>
      <c r="G610" s="399" t="s">
        <v>2340</v>
      </c>
      <c r="H610" s="399" t="s">
        <v>1239</v>
      </c>
      <c r="I610" s="399" t="s">
        <v>1239</v>
      </c>
      <c r="J610" s="399" t="s">
        <v>2329</v>
      </c>
      <c r="K610" s="789">
        <v>44774</v>
      </c>
      <c r="L610" s="399">
        <v>0</v>
      </c>
      <c r="M610" s="399">
        <v>0</v>
      </c>
      <c r="N610" s="399">
        <v>2.8079999999999998</v>
      </c>
      <c r="O610" s="399">
        <v>2.8079999999999998</v>
      </c>
      <c r="P610" s="399">
        <v>2.8079999999999998</v>
      </c>
      <c r="Q610" s="399">
        <v>2.8079999999999998</v>
      </c>
      <c r="R610" s="399"/>
      <c r="S610" s="399">
        <v>521.86</v>
      </c>
      <c r="T610" s="399">
        <v>141.32</v>
      </c>
      <c r="U610" s="399"/>
      <c r="V610" s="399">
        <v>1862.2094399999999</v>
      </c>
      <c r="W610" s="399">
        <v>1862.2094399999999</v>
      </c>
      <c r="X610" s="399">
        <v>1455.4706399999998</v>
      </c>
      <c r="Y610" s="399">
        <v>0</v>
      </c>
      <c r="Z610" s="399">
        <v>170.38113532181509</v>
      </c>
      <c r="AA610" s="399">
        <v>0</v>
      </c>
      <c r="AB610" s="399">
        <v>0</v>
      </c>
      <c r="AC610" s="399">
        <v>0</v>
      </c>
      <c r="AD610" s="399">
        <v>302.01107664289719</v>
      </c>
      <c r="AE610" s="399">
        <v>912.46183196137633</v>
      </c>
      <c r="AF610" s="399">
        <v>396.8235555298167</v>
      </c>
      <c r="AG610" s="399">
        <v>0</v>
      </c>
      <c r="AH610" s="399">
        <v>0</v>
      </c>
      <c r="AI610" s="399">
        <v>0</v>
      </c>
      <c r="AJ610" s="399">
        <v>0</v>
      </c>
      <c r="AK610" s="399">
        <v>0</v>
      </c>
      <c r="AL610" s="399">
        <v>26.344634515914162</v>
      </c>
      <c r="AM610" s="399"/>
      <c r="AN610" s="399">
        <v>3.8943216471999054</v>
      </c>
      <c r="AO610" s="399">
        <v>0</v>
      </c>
      <c r="AP610" s="399">
        <v>0</v>
      </c>
      <c r="AQ610" s="399">
        <v>0</v>
      </c>
      <c r="AR610" s="399">
        <v>0</v>
      </c>
      <c r="AS610" s="399">
        <v>0</v>
      </c>
      <c r="AT610" s="399">
        <v>0</v>
      </c>
      <c r="AU610" s="399">
        <v>0</v>
      </c>
      <c r="AV610" s="399">
        <v>0</v>
      </c>
      <c r="AW610" s="399">
        <v>0</v>
      </c>
      <c r="AX610" s="399">
        <v>0</v>
      </c>
      <c r="AY610" s="399">
        <v>0</v>
      </c>
      <c r="AZ610" s="399">
        <v>0</v>
      </c>
      <c r="BA610" s="399"/>
      <c r="BB610" s="399">
        <v>0</v>
      </c>
      <c r="BC610" s="399">
        <v>0</v>
      </c>
      <c r="BD610" s="399">
        <v>0</v>
      </c>
      <c r="BE610" s="399">
        <v>0</v>
      </c>
      <c r="BF610" s="399">
        <v>0</v>
      </c>
      <c r="BG610" s="399">
        <v>50.276953614878728</v>
      </c>
      <c r="BH610" s="399">
        <v>0</v>
      </c>
      <c r="BI610" s="399">
        <v>0</v>
      </c>
      <c r="BJ610" s="399">
        <v>0</v>
      </c>
      <c r="BK610" s="399">
        <v>0</v>
      </c>
      <c r="BL610" s="399">
        <v>0</v>
      </c>
      <c r="BM610" s="399"/>
      <c r="BN610" s="399"/>
      <c r="BO610" s="399"/>
      <c r="BP610" s="399"/>
      <c r="BQ610" s="399"/>
      <c r="BR610" s="399">
        <v>174.6576</v>
      </c>
      <c r="BS610" s="399"/>
      <c r="BT610" s="399"/>
      <c r="BU610" s="399"/>
      <c r="BV610" s="399">
        <v>447.10050914469542</v>
      </c>
      <c r="BW610" s="399"/>
      <c r="BX610" s="399"/>
      <c r="BY610" s="399"/>
      <c r="BZ610" s="399"/>
      <c r="CA610" s="399"/>
      <c r="CB610" s="399"/>
      <c r="CC610" s="399"/>
      <c r="CD610" s="399"/>
      <c r="CE610" s="399"/>
      <c r="CF610" s="399"/>
      <c r="CG610" s="399"/>
      <c r="CH610" s="399"/>
      <c r="CI610" s="399">
        <v>1281.7253000000001</v>
      </c>
      <c r="CJ610" s="399">
        <v>-357.02541999999994</v>
      </c>
      <c r="CK610" s="399"/>
      <c r="CL610" s="399"/>
      <c r="CM610" s="399"/>
      <c r="CN610" s="399"/>
      <c r="CO610" s="399">
        <v>-406.73880000000003</v>
      </c>
      <c r="CP610" s="399">
        <v>0</v>
      </c>
      <c r="CQ610" s="399">
        <v>31</v>
      </c>
      <c r="CR610" s="399">
        <v>-12.511710504805137</v>
      </c>
      <c r="CS610" s="399">
        <v>0</v>
      </c>
      <c r="CT610" s="399">
        <v>0</v>
      </c>
      <c r="CU610" s="399">
        <v>0</v>
      </c>
      <c r="CV610" s="399">
        <v>0</v>
      </c>
      <c r="CW610" s="399">
        <v>0</v>
      </c>
      <c r="CX610" s="399">
        <v>0</v>
      </c>
      <c r="CY610" s="399">
        <v>0</v>
      </c>
      <c r="CZ610" s="399">
        <v>-1.4383891065697298</v>
      </c>
      <c r="DA610" s="399">
        <v>0</v>
      </c>
      <c r="DB610" s="399">
        <v>0</v>
      </c>
      <c r="DC610" s="399">
        <v>0</v>
      </c>
      <c r="DD610" s="399">
        <v>0</v>
      </c>
      <c r="DE610" s="399">
        <v>0</v>
      </c>
      <c r="DF610" s="399">
        <v>0</v>
      </c>
      <c r="DG610" s="399">
        <v>0</v>
      </c>
      <c r="DH610" s="399">
        <v>0</v>
      </c>
      <c r="DI610" s="399">
        <v>-9.5998969869656889</v>
      </c>
      <c r="DJ610" s="399"/>
      <c r="DK610" s="399">
        <v>0</v>
      </c>
      <c r="DL610" s="399">
        <v>0</v>
      </c>
      <c r="DM610" s="399">
        <v>0</v>
      </c>
      <c r="DN610" s="399">
        <v>0</v>
      </c>
      <c r="DO610" s="399">
        <v>-1.3163940303051938</v>
      </c>
      <c r="DP610" s="399">
        <v>-0.15703038096449173</v>
      </c>
      <c r="DQ610" s="399">
        <v>0</v>
      </c>
      <c r="DR610" s="399">
        <v>0</v>
      </c>
      <c r="DS610" s="399"/>
      <c r="DT610" s="399"/>
      <c r="DU610" s="399"/>
      <c r="DV610" s="399">
        <v>912.46183196137633</v>
      </c>
      <c r="DW610" s="399">
        <v>0</v>
      </c>
      <c r="DX610" s="399">
        <v>0</v>
      </c>
      <c r="DY610" s="399">
        <v>-406.73880000000008</v>
      </c>
      <c r="DZ610" s="399">
        <v>0</v>
      </c>
      <c r="EA610" s="399">
        <v>0</v>
      </c>
      <c r="EB610" s="399">
        <v>0</v>
      </c>
      <c r="EC610" s="399">
        <v>-394.20119867897995</v>
      </c>
      <c r="ED610" s="399">
        <v>0</v>
      </c>
      <c r="EE610" s="399">
        <v>0</v>
      </c>
      <c r="EF610" s="399">
        <v>0</v>
      </c>
      <c r="EG610" s="399">
        <v>0</v>
      </c>
      <c r="EH610" s="399">
        <v>0</v>
      </c>
      <c r="EI610" s="399">
        <v>0</v>
      </c>
      <c r="EJ610" s="399">
        <v>0</v>
      </c>
      <c r="EK610" s="399">
        <v>0</v>
      </c>
      <c r="EL610" s="399">
        <v>0</v>
      </c>
      <c r="EM610" s="399">
        <v>0</v>
      </c>
      <c r="EN610" s="399">
        <v>0</v>
      </c>
      <c r="EO610" s="399">
        <v>0</v>
      </c>
      <c r="EP610" s="399">
        <v>0</v>
      </c>
      <c r="EQ610" s="399">
        <v>0</v>
      </c>
      <c r="ER610" s="399">
        <v>0</v>
      </c>
      <c r="ES610" s="399">
        <v>0</v>
      </c>
      <c r="ET610" s="399">
        <v>0</v>
      </c>
      <c r="EU610" s="399">
        <v>0</v>
      </c>
      <c r="EV610" s="399">
        <v>218</v>
      </c>
      <c r="EW610" s="399">
        <v>0</v>
      </c>
      <c r="EX610" s="399">
        <v>0</v>
      </c>
      <c r="EY610" s="399">
        <v>0</v>
      </c>
      <c r="EZ610" s="399"/>
      <c r="FA610" s="399">
        <v>0</v>
      </c>
      <c r="FB610" s="399"/>
      <c r="FC610" s="399"/>
      <c r="FD610" s="399"/>
      <c r="FE610" s="399"/>
      <c r="FF610" s="399">
        <v>0</v>
      </c>
      <c r="FG610" s="399">
        <v>0</v>
      </c>
      <c r="FH610" s="399">
        <v>0</v>
      </c>
      <c r="FI610" s="399">
        <v>0</v>
      </c>
    </row>
    <row r="611" spans="1:165">
      <c r="A611" s="399">
        <v>616</v>
      </c>
      <c r="B611" s="399" t="s">
        <v>2361</v>
      </c>
      <c r="C611" s="399" t="s">
        <v>2328</v>
      </c>
      <c r="D611" s="399" t="s">
        <v>2335</v>
      </c>
      <c r="E611" s="399" t="s">
        <v>894</v>
      </c>
      <c r="F611" s="399" t="s">
        <v>2363</v>
      </c>
      <c r="G611" s="399" t="s">
        <v>2340</v>
      </c>
      <c r="H611" s="399" t="s">
        <v>1239</v>
      </c>
      <c r="I611" s="399" t="s">
        <v>1239</v>
      </c>
      <c r="J611" s="399" t="s">
        <v>2329</v>
      </c>
      <c r="K611" s="789">
        <v>44774</v>
      </c>
      <c r="L611" s="399">
        <v>0</v>
      </c>
      <c r="M611" s="399">
        <v>0</v>
      </c>
      <c r="N611" s="399">
        <v>0.1</v>
      </c>
      <c r="O611" s="399">
        <v>0.1</v>
      </c>
      <c r="P611" s="399">
        <v>0.1</v>
      </c>
      <c r="Q611" s="399">
        <v>0.1</v>
      </c>
      <c r="R611" s="399"/>
      <c r="S611" s="399">
        <v>521.86</v>
      </c>
      <c r="T611" s="399">
        <v>141.32</v>
      </c>
      <c r="U611" s="399"/>
      <c r="V611" s="399">
        <v>66.318000000000012</v>
      </c>
      <c r="W611" s="399">
        <v>66.318000000000012</v>
      </c>
      <c r="X611" s="399">
        <v>51.832999999999998</v>
      </c>
      <c r="Y611" s="399">
        <v>0</v>
      </c>
      <c r="Z611" s="399">
        <v>6.0677042493523903</v>
      </c>
      <c r="AA611" s="399">
        <v>0</v>
      </c>
      <c r="AB611" s="399">
        <v>0</v>
      </c>
      <c r="AC611" s="399">
        <v>0</v>
      </c>
      <c r="AD611" s="399">
        <v>10.7553802223254</v>
      </c>
      <c r="AE611" s="399">
        <v>32.495079485804006</v>
      </c>
      <c r="AF611" s="399">
        <v>14.131893003198602</v>
      </c>
      <c r="AG611" s="399">
        <v>0</v>
      </c>
      <c r="AH611" s="399">
        <v>0</v>
      </c>
      <c r="AI611" s="399">
        <v>0</v>
      </c>
      <c r="AJ611" s="399">
        <v>0</v>
      </c>
      <c r="AK611" s="399">
        <v>0</v>
      </c>
      <c r="AL611" s="399">
        <v>0.93819923489722812</v>
      </c>
      <c r="AM611" s="399"/>
      <c r="AN611" s="399">
        <v>0.13868666834757501</v>
      </c>
      <c r="AO611" s="399">
        <v>0</v>
      </c>
      <c r="AP611" s="399">
        <v>0</v>
      </c>
      <c r="AQ611" s="399">
        <v>0</v>
      </c>
      <c r="AR611" s="399">
        <v>0</v>
      </c>
      <c r="AS611" s="399">
        <v>0</v>
      </c>
      <c r="AT611" s="399">
        <v>0</v>
      </c>
      <c r="AU611" s="399">
        <v>0</v>
      </c>
      <c r="AV611" s="399">
        <v>0</v>
      </c>
      <c r="AW611" s="399">
        <v>0</v>
      </c>
      <c r="AX611" s="399">
        <v>0</v>
      </c>
      <c r="AY611" s="399">
        <v>0</v>
      </c>
      <c r="AZ611" s="399">
        <v>0</v>
      </c>
      <c r="BA611" s="399"/>
      <c r="BB611" s="399">
        <v>0</v>
      </c>
      <c r="BC611" s="399">
        <v>0</v>
      </c>
      <c r="BD611" s="399">
        <v>0</v>
      </c>
      <c r="BE611" s="399">
        <v>0</v>
      </c>
      <c r="BF611" s="399">
        <v>0</v>
      </c>
      <c r="BG611" s="399">
        <v>1.7904898010996702</v>
      </c>
      <c r="BH611" s="399">
        <v>0</v>
      </c>
      <c r="BI611" s="399">
        <v>0</v>
      </c>
      <c r="BJ611" s="399">
        <v>0</v>
      </c>
      <c r="BK611" s="399">
        <v>0</v>
      </c>
      <c r="BL611" s="399">
        <v>0</v>
      </c>
      <c r="BM611" s="399"/>
      <c r="BN611" s="399"/>
      <c r="BO611" s="399"/>
      <c r="BP611" s="399"/>
      <c r="BQ611" s="399"/>
      <c r="BR611" s="399">
        <v>6.2200000000000006</v>
      </c>
      <c r="BS611" s="399"/>
      <c r="BT611" s="399"/>
      <c r="BU611" s="399"/>
      <c r="BV611" s="399">
        <v>15.922382804298273</v>
      </c>
      <c r="BW611" s="399"/>
      <c r="BX611" s="399"/>
      <c r="BY611" s="399"/>
      <c r="BZ611" s="399"/>
      <c r="CA611" s="399"/>
      <c r="CB611" s="399"/>
      <c r="CC611" s="399"/>
      <c r="CD611" s="399"/>
      <c r="CE611" s="399"/>
      <c r="CF611" s="399"/>
      <c r="CG611" s="399"/>
      <c r="CH611" s="399"/>
      <c r="CI611" s="399">
        <v>45.613</v>
      </c>
      <c r="CJ611" s="399">
        <v>-12.775999999999996</v>
      </c>
      <c r="CK611" s="399"/>
      <c r="CL611" s="399"/>
      <c r="CM611" s="399"/>
      <c r="CN611" s="399"/>
      <c r="CO611" s="399">
        <v>-14.485000000000003</v>
      </c>
      <c r="CP611" s="399">
        <v>0</v>
      </c>
      <c r="CQ611" s="399">
        <v>31</v>
      </c>
      <c r="CR611" s="399">
        <v>-0.44557373592610361</v>
      </c>
      <c r="CS611" s="399">
        <v>0</v>
      </c>
      <c r="CT611" s="399">
        <v>0</v>
      </c>
      <c r="CU611" s="399">
        <v>0</v>
      </c>
      <c r="CV611" s="399">
        <v>0</v>
      </c>
      <c r="CW611" s="399">
        <v>0</v>
      </c>
      <c r="CX611" s="399">
        <v>0</v>
      </c>
      <c r="CY611" s="399">
        <v>0</v>
      </c>
      <c r="CZ611" s="399">
        <v>-5.1224683282399042E-2</v>
      </c>
      <c r="DA611" s="399">
        <v>0</v>
      </c>
      <c r="DB611" s="399">
        <v>0</v>
      </c>
      <c r="DC611" s="399">
        <v>0</v>
      </c>
      <c r="DD611" s="399">
        <v>0</v>
      </c>
      <c r="DE611" s="399">
        <v>0</v>
      </c>
      <c r="DF611" s="399">
        <v>0</v>
      </c>
      <c r="DG611" s="399">
        <v>0</v>
      </c>
      <c r="DH611" s="399">
        <v>0</v>
      </c>
      <c r="DI611" s="399">
        <v>-0.34187667332498961</v>
      </c>
      <c r="DJ611" s="399"/>
      <c r="DK611" s="399">
        <v>0</v>
      </c>
      <c r="DL611" s="399">
        <v>0</v>
      </c>
      <c r="DM611" s="399">
        <v>0</v>
      </c>
      <c r="DN611" s="399">
        <v>0</v>
      </c>
      <c r="DO611" s="399">
        <v>-4.6880129284373018E-2</v>
      </c>
      <c r="DP611" s="399">
        <v>-5.5922500343480175E-3</v>
      </c>
      <c r="DQ611" s="399">
        <v>0</v>
      </c>
      <c r="DR611" s="399">
        <v>0</v>
      </c>
      <c r="DS611" s="399"/>
      <c r="DT611" s="399"/>
      <c r="DU611" s="399"/>
      <c r="DV611" s="399">
        <v>32.495079485804006</v>
      </c>
      <c r="DW611" s="399">
        <v>0</v>
      </c>
      <c r="DX611" s="399">
        <v>0</v>
      </c>
      <c r="DY611" s="399">
        <v>-14.485000000000007</v>
      </c>
      <c r="DZ611" s="399">
        <v>0</v>
      </c>
      <c r="EA611" s="399">
        <v>0</v>
      </c>
      <c r="EB611" s="399">
        <v>0</v>
      </c>
      <c r="EC611" s="399">
        <v>-14.038504226459406</v>
      </c>
      <c r="ED611" s="399">
        <v>0</v>
      </c>
      <c r="EE611" s="399">
        <v>0</v>
      </c>
      <c r="EF611" s="399">
        <v>0</v>
      </c>
      <c r="EG611" s="399">
        <v>0</v>
      </c>
      <c r="EH611" s="399">
        <v>0</v>
      </c>
      <c r="EI611" s="399">
        <v>0</v>
      </c>
      <c r="EJ611" s="399">
        <v>0</v>
      </c>
      <c r="EK611" s="399">
        <v>0</v>
      </c>
      <c r="EL611" s="399">
        <v>0</v>
      </c>
      <c r="EM611" s="399">
        <v>0</v>
      </c>
      <c r="EN611" s="399">
        <v>0</v>
      </c>
      <c r="EO611" s="399">
        <v>0</v>
      </c>
      <c r="EP611" s="399">
        <v>0</v>
      </c>
      <c r="EQ611" s="399">
        <v>0</v>
      </c>
      <c r="ER611" s="399">
        <v>0</v>
      </c>
      <c r="ES611" s="399">
        <v>0</v>
      </c>
      <c r="ET611" s="399">
        <v>0</v>
      </c>
      <c r="EU611" s="399">
        <v>0</v>
      </c>
      <c r="EV611" s="399">
        <v>218</v>
      </c>
      <c r="EW611" s="399">
        <v>0</v>
      </c>
      <c r="EX611" s="399">
        <v>0</v>
      </c>
      <c r="EY611" s="399">
        <v>0</v>
      </c>
      <c r="EZ611" s="399"/>
      <c r="FA611" s="399">
        <v>0</v>
      </c>
      <c r="FB611" s="399"/>
      <c r="FC611" s="399"/>
      <c r="FD611" s="399"/>
      <c r="FE611" s="399"/>
      <c r="FF611" s="399">
        <v>0</v>
      </c>
      <c r="FG611" s="399">
        <v>0</v>
      </c>
      <c r="FH611" s="399">
        <v>0</v>
      </c>
      <c r="FI611" s="399">
        <v>0</v>
      </c>
    </row>
    <row r="612" spans="1:165">
      <c r="A612" s="399">
        <v>617</v>
      </c>
      <c r="B612" s="399" t="s">
        <v>956</v>
      </c>
      <c r="C612" s="399" t="s">
        <v>2328</v>
      </c>
      <c r="D612" s="399" t="s">
        <v>2335</v>
      </c>
      <c r="E612" s="399" t="s">
        <v>894</v>
      </c>
      <c r="F612" s="399" t="s">
        <v>2363</v>
      </c>
      <c r="G612" s="399" t="s">
        <v>2341</v>
      </c>
      <c r="H612" s="399" t="s">
        <v>1239</v>
      </c>
      <c r="I612" s="399" t="s">
        <v>1239</v>
      </c>
      <c r="J612" s="399" t="s">
        <v>2329</v>
      </c>
      <c r="K612" s="789">
        <v>44774</v>
      </c>
      <c r="L612" s="399">
        <v>0</v>
      </c>
      <c r="M612" s="399">
        <v>0</v>
      </c>
      <c r="N612" s="399">
        <v>0.77700000000000002</v>
      </c>
      <c r="O612" s="399">
        <v>0.31080000000000002</v>
      </c>
      <c r="P612" s="399">
        <v>0.77700000000000002</v>
      </c>
      <c r="Q612" s="399">
        <v>0.31080000000000002</v>
      </c>
      <c r="R612" s="399"/>
      <c r="S612" s="399">
        <v>521.86</v>
      </c>
      <c r="T612" s="399">
        <v>141.32</v>
      </c>
      <c r="U612" s="399"/>
      <c r="V612" s="399">
        <v>515.29086000000007</v>
      </c>
      <c r="W612" s="399">
        <v>515.29086000000007</v>
      </c>
      <c r="X612" s="399">
        <v>402.74241000000001</v>
      </c>
      <c r="Y612" s="399">
        <v>0</v>
      </c>
      <c r="Z612" s="399">
        <v>47.146062017468068</v>
      </c>
      <c r="AA612" s="399">
        <v>0</v>
      </c>
      <c r="AB612" s="399">
        <v>0</v>
      </c>
      <c r="AC612" s="399">
        <v>0</v>
      </c>
      <c r="AD612" s="399">
        <v>83.569304327468359</v>
      </c>
      <c r="AE612" s="399">
        <v>252.48676760469709</v>
      </c>
      <c r="AF612" s="399">
        <v>109.80480863485313</v>
      </c>
      <c r="AG612" s="399">
        <v>0</v>
      </c>
      <c r="AH612" s="399">
        <v>0</v>
      </c>
      <c r="AI612" s="399">
        <v>0</v>
      </c>
      <c r="AJ612" s="399">
        <v>0</v>
      </c>
      <c r="AK612" s="399">
        <v>0</v>
      </c>
      <c r="AL612" s="399">
        <v>7.2898080551514628</v>
      </c>
      <c r="AM612" s="399"/>
      <c r="AN612" s="399">
        <v>1.0775954130606578</v>
      </c>
      <c r="AO612" s="399">
        <v>0</v>
      </c>
      <c r="AP612" s="399">
        <v>0</v>
      </c>
      <c r="AQ612" s="399">
        <v>0</v>
      </c>
      <c r="AR612" s="399">
        <v>0</v>
      </c>
      <c r="AS612" s="399">
        <v>0</v>
      </c>
      <c r="AT612" s="399">
        <v>0</v>
      </c>
      <c r="AU612" s="399">
        <v>0</v>
      </c>
      <c r="AV612" s="399">
        <v>0</v>
      </c>
      <c r="AW612" s="399">
        <v>0</v>
      </c>
      <c r="AX612" s="399">
        <v>0</v>
      </c>
      <c r="AY612" s="399">
        <v>0</v>
      </c>
      <c r="AZ612" s="399">
        <v>0</v>
      </c>
      <c r="BA612" s="399"/>
      <c r="BB612" s="399">
        <v>0</v>
      </c>
      <c r="BC612" s="399">
        <v>0</v>
      </c>
      <c r="BD612" s="399">
        <v>0</v>
      </c>
      <c r="BE612" s="399">
        <v>0</v>
      </c>
      <c r="BF612" s="399">
        <v>0</v>
      </c>
      <c r="BG612" s="399">
        <v>13.912105754544436</v>
      </c>
      <c r="BH612" s="399">
        <v>0</v>
      </c>
      <c r="BI612" s="399">
        <v>0</v>
      </c>
      <c r="BJ612" s="399">
        <v>0</v>
      </c>
      <c r="BK612" s="399">
        <v>0</v>
      </c>
      <c r="BL612" s="399">
        <v>0</v>
      </c>
      <c r="BM612" s="399"/>
      <c r="BN612" s="399"/>
      <c r="BO612" s="399"/>
      <c r="BP612" s="399"/>
      <c r="BQ612" s="399"/>
      <c r="BR612" s="399"/>
      <c r="BS612" s="399">
        <v>260.97720599999997</v>
      </c>
      <c r="BT612" s="399"/>
      <c r="BU612" s="399"/>
      <c r="BV612" s="399">
        <v>123.71691438939757</v>
      </c>
      <c r="BW612" s="399"/>
      <c r="BX612" s="399"/>
      <c r="BY612" s="399"/>
      <c r="BZ612" s="399"/>
      <c r="CA612" s="399"/>
      <c r="CB612" s="399"/>
      <c r="CC612" s="399"/>
      <c r="CD612" s="399"/>
      <c r="CE612" s="399"/>
      <c r="CF612" s="399"/>
      <c r="CG612" s="399"/>
      <c r="CH612" s="399"/>
      <c r="CI612" s="399">
        <v>141.40029999999999</v>
      </c>
      <c r="CJ612" s="399">
        <v>-40.009471999999988</v>
      </c>
      <c r="CK612" s="399"/>
      <c r="CL612" s="399"/>
      <c r="CM612" s="399"/>
      <c r="CN612" s="399"/>
      <c r="CO612" s="399">
        <v>-112.54845000000002</v>
      </c>
      <c r="CP612" s="399">
        <v>0</v>
      </c>
      <c r="CQ612" s="399">
        <v>31</v>
      </c>
      <c r="CR612" s="399">
        <v>-3.4621079281458265</v>
      </c>
      <c r="CS612" s="399">
        <v>0</v>
      </c>
      <c r="CT612" s="399">
        <v>0</v>
      </c>
      <c r="CU612" s="399">
        <v>0</v>
      </c>
      <c r="CV612" s="399">
        <v>0</v>
      </c>
      <c r="CW612" s="399">
        <v>0</v>
      </c>
      <c r="CX612" s="399">
        <v>0</v>
      </c>
      <c r="CY612" s="399">
        <v>0</v>
      </c>
      <c r="CZ612" s="399">
        <v>-0.3980157891042353</v>
      </c>
      <c r="DA612" s="399">
        <v>0</v>
      </c>
      <c r="DB612" s="399">
        <v>0</v>
      </c>
      <c r="DC612" s="399">
        <v>0</v>
      </c>
      <c r="DD612" s="399">
        <v>0</v>
      </c>
      <c r="DE612" s="399">
        <v>0</v>
      </c>
      <c r="DF612" s="399">
        <v>0</v>
      </c>
      <c r="DG612" s="399">
        <v>0</v>
      </c>
      <c r="DH612" s="399">
        <v>0</v>
      </c>
      <c r="DI612" s="399">
        <v>-2.656381751735168</v>
      </c>
      <c r="DJ612" s="399"/>
      <c r="DK612" s="399">
        <v>0</v>
      </c>
      <c r="DL612" s="399">
        <v>0</v>
      </c>
      <c r="DM612" s="399">
        <v>0</v>
      </c>
      <c r="DN612" s="399">
        <v>0</v>
      </c>
      <c r="DO612" s="399">
        <v>-0.36425860453957881</v>
      </c>
      <c r="DP612" s="399">
        <v>-4.3451782766884106E-2</v>
      </c>
      <c r="DQ612" s="399">
        <v>0</v>
      </c>
      <c r="DR612" s="399">
        <v>0</v>
      </c>
      <c r="DS612" s="399"/>
      <c r="DT612" s="399"/>
      <c r="DU612" s="399"/>
      <c r="DV612" s="399">
        <v>252.48676760469709</v>
      </c>
      <c r="DW612" s="399">
        <v>0</v>
      </c>
      <c r="DX612" s="399">
        <v>0</v>
      </c>
      <c r="DY612" s="399">
        <v>-112.54845</v>
      </c>
      <c r="DZ612" s="399">
        <v>0</v>
      </c>
      <c r="EA612" s="399">
        <v>0</v>
      </c>
      <c r="EB612" s="399">
        <v>0</v>
      </c>
      <c r="EC612" s="399">
        <v>-109.07917783958953</v>
      </c>
      <c r="ED612" s="399">
        <v>0</v>
      </c>
      <c r="EE612" s="399">
        <v>0</v>
      </c>
      <c r="EF612" s="399">
        <v>0</v>
      </c>
      <c r="EG612" s="399">
        <v>0</v>
      </c>
      <c r="EH612" s="399">
        <v>0</v>
      </c>
      <c r="EI612" s="399">
        <v>0</v>
      </c>
      <c r="EJ612" s="399">
        <v>0</v>
      </c>
      <c r="EK612" s="399">
        <v>0</v>
      </c>
      <c r="EL612" s="399">
        <v>0</v>
      </c>
      <c r="EM612" s="399">
        <v>0</v>
      </c>
      <c r="EN612" s="399">
        <v>0</v>
      </c>
      <c r="EO612" s="399">
        <v>0</v>
      </c>
      <c r="EP612" s="399">
        <v>0</v>
      </c>
      <c r="EQ612" s="399">
        <v>0</v>
      </c>
      <c r="ER612" s="399">
        <v>0</v>
      </c>
      <c r="ES612" s="399">
        <v>0</v>
      </c>
      <c r="ET612" s="399">
        <v>0</v>
      </c>
      <c r="EU612" s="399">
        <v>0</v>
      </c>
      <c r="EV612" s="399">
        <v>218</v>
      </c>
      <c r="EW612" s="399">
        <v>0</v>
      </c>
      <c r="EX612" s="399">
        <v>0</v>
      </c>
      <c r="EY612" s="399">
        <v>0</v>
      </c>
      <c r="EZ612" s="399"/>
      <c r="FA612" s="399">
        <v>0</v>
      </c>
      <c r="FB612" s="399"/>
      <c r="FC612" s="399"/>
      <c r="FD612" s="399"/>
      <c r="FE612" s="399"/>
      <c r="FF612" s="399">
        <v>0</v>
      </c>
      <c r="FG612" s="399">
        <v>0</v>
      </c>
      <c r="FH612" s="399">
        <v>0</v>
      </c>
      <c r="FI612" s="399">
        <v>0</v>
      </c>
    </row>
    <row r="613" spans="1:165">
      <c r="A613" s="399">
        <v>619</v>
      </c>
      <c r="B613" s="399" t="s">
        <v>956</v>
      </c>
      <c r="C613" s="399" t="s">
        <v>2328</v>
      </c>
      <c r="D613" s="399" t="s">
        <v>2335</v>
      </c>
      <c r="E613" s="399" t="s">
        <v>894</v>
      </c>
      <c r="F613" s="399" t="s">
        <v>2342</v>
      </c>
      <c r="G613" s="399" t="s">
        <v>2340</v>
      </c>
      <c r="H613" s="399" t="s">
        <v>1239</v>
      </c>
      <c r="I613" s="399" t="s">
        <v>1239</v>
      </c>
      <c r="J613" s="399" t="s">
        <v>2329</v>
      </c>
      <c r="K613" s="789">
        <v>44774</v>
      </c>
      <c r="L613" s="399">
        <v>0</v>
      </c>
      <c r="M613" s="399">
        <v>0</v>
      </c>
      <c r="N613" s="399">
        <v>0</v>
      </c>
      <c r="O613" s="399">
        <v>0</v>
      </c>
      <c r="P613" s="399">
        <v>0</v>
      </c>
      <c r="Q613" s="399">
        <v>0</v>
      </c>
      <c r="R613" s="399"/>
      <c r="S613" s="399"/>
      <c r="T613" s="399"/>
      <c r="U613" s="399"/>
      <c r="V613" s="399"/>
      <c r="W613" s="399"/>
      <c r="X613" s="399"/>
      <c r="Y613" s="399"/>
      <c r="Z613" s="399"/>
      <c r="AA613" s="399">
        <v>0</v>
      </c>
      <c r="AB613" s="399"/>
      <c r="AC613" s="399"/>
      <c r="AD613" s="399"/>
      <c r="AE613" s="399"/>
      <c r="AF613" s="399"/>
      <c r="AG613" s="399"/>
      <c r="AH613" s="399"/>
      <c r="AI613" s="399"/>
      <c r="AJ613" s="399"/>
      <c r="AK613" s="399"/>
      <c r="AL613" s="399"/>
      <c r="AM613" s="399"/>
      <c r="AN613" s="399"/>
      <c r="AO613" s="399"/>
      <c r="AP613" s="399"/>
      <c r="AQ613" s="399"/>
      <c r="AR613" s="399"/>
      <c r="AS613" s="399"/>
      <c r="AT613" s="399"/>
      <c r="AU613" s="399"/>
      <c r="AV613" s="399"/>
      <c r="AW613" s="399"/>
      <c r="AX613" s="399"/>
      <c r="AY613" s="399"/>
      <c r="AZ613" s="399">
        <v>0</v>
      </c>
      <c r="BA613" s="399"/>
      <c r="BB613" s="399"/>
      <c r="BC613" s="399"/>
      <c r="BD613" s="399"/>
      <c r="BE613" s="399"/>
      <c r="BF613" s="399"/>
      <c r="BG613" s="399"/>
      <c r="BH613" s="399"/>
      <c r="BI613" s="399">
        <v>30.43</v>
      </c>
      <c r="BJ613" s="399">
        <v>140.58000000000001</v>
      </c>
      <c r="BK613" s="399">
        <v>802.52</v>
      </c>
      <c r="BL613" s="399">
        <v>16</v>
      </c>
      <c r="BM613" s="399"/>
      <c r="BN613" s="399"/>
      <c r="BO613" s="399"/>
      <c r="BP613" s="399"/>
      <c r="BQ613" s="399"/>
      <c r="BR613" s="399"/>
      <c r="BS613" s="399"/>
      <c r="BT613" s="399"/>
      <c r="BU613" s="399"/>
      <c r="BV613" s="399"/>
      <c r="BW613" s="399"/>
      <c r="BX613" s="399"/>
      <c r="BY613" s="399"/>
      <c r="BZ613" s="399"/>
      <c r="CA613" s="399"/>
      <c r="CB613" s="399"/>
      <c r="CC613" s="399"/>
      <c r="CD613" s="399"/>
      <c r="CE613" s="399"/>
      <c r="CF613" s="399"/>
      <c r="CG613" s="399"/>
      <c r="CH613" s="399"/>
      <c r="CI613" s="399"/>
      <c r="CJ613" s="399">
        <v>-0.03</v>
      </c>
      <c r="CK613" s="399"/>
      <c r="CL613" s="399"/>
      <c r="CM613" s="399"/>
      <c r="CN613" s="399"/>
      <c r="CO613" s="399">
        <v>0</v>
      </c>
      <c r="CP613" s="399">
        <v>0</v>
      </c>
      <c r="CQ613" s="399">
        <v>31</v>
      </c>
      <c r="CR613" s="399"/>
      <c r="CS613" s="399"/>
      <c r="CT613" s="399"/>
      <c r="CU613" s="399"/>
      <c r="CV613" s="399"/>
      <c r="CW613" s="399"/>
      <c r="CX613" s="399"/>
      <c r="CY613" s="399"/>
      <c r="CZ613" s="399"/>
      <c r="DA613" s="399"/>
      <c r="DB613" s="399"/>
      <c r="DC613" s="399"/>
      <c r="DD613" s="399"/>
      <c r="DE613" s="399"/>
      <c r="DF613" s="399"/>
      <c r="DG613" s="399"/>
      <c r="DH613" s="399"/>
      <c r="DI613" s="399"/>
      <c r="DJ613" s="399"/>
      <c r="DK613" s="399">
        <v>0</v>
      </c>
      <c r="DL613" s="399"/>
      <c r="DM613" s="399"/>
      <c r="DN613" s="399"/>
      <c r="DO613" s="399"/>
      <c r="DP613" s="399"/>
      <c r="DQ613" s="399"/>
      <c r="DR613" s="399"/>
      <c r="DS613" s="399"/>
      <c r="DT613" s="399"/>
      <c r="DU613" s="399"/>
      <c r="DV613" s="399"/>
      <c r="DW613" s="399"/>
      <c r="DX613" s="399"/>
      <c r="DY613" s="399"/>
      <c r="DZ613" s="399"/>
      <c r="EA613" s="399"/>
      <c r="EB613" s="399"/>
      <c r="EC613" s="399"/>
      <c r="ED613" s="399"/>
      <c r="EE613" s="399"/>
      <c r="EF613" s="399"/>
      <c r="EG613" s="399"/>
      <c r="EH613" s="399"/>
      <c r="EI613" s="399"/>
      <c r="EJ613" s="399"/>
      <c r="EK613" s="399"/>
      <c r="EL613" s="399"/>
      <c r="EM613" s="399"/>
      <c r="EN613" s="399"/>
      <c r="EO613" s="399"/>
      <c r="EP613" s="399"/>
      <c r="EQ613" s="399"/>
      <c r="ER613" s="399"/>
      <c r="ES613" s="399"/>
      <c r="ET613" s="399"/>
      <c r="EU613" s="399"/>
      <c r="EV613" s="399">
        <v>218</v>
      </c>
      <c r="EW613" s="399"/>
      <c r="EX613" s="399"/>
      <c r="EY613" s="399"/>
      <c r="EZ613" s="399"/>
      <c r="FA613" s="399">
        <v>0</v>
      </c>
      <c r="FB613" s="399"/>
      <c r="FC613" s="399"/>
      <c r="FD613" s="399"/>
      <c r="FE613" s="399"/>
      <c r="FF613" s="399">
        <v>0</v>
      </c>
      <c r="FG613" s="399">
        <v>0</v>
      </c>
      <c r="FH613" s="399">
        <v>0</v>
      </c>
      <c r="FI613" s="399">
        <v>0</v>
      </c>
    </row>
    <row r="614" spans="1:165">
      <c r="A614" s="399">
        <v>620</v>
      </c>
      <c r="B614" s="399" t="s">
        <v>2361</v>
      </c>
      <c r="C614" s="399" t="s">
        <v>2328</v>
      </c>
      <c r="D614" s="399" t="s">
        <v>2335</v>
      </c>
      <c r="E614" s="399" t="s">
        <v>894</v>
      </c>
      <c r="F614" s="399" t="s">
        <v>2342</v>
      </c>
      <c r="G614" s="399" t="s">
        <v>2340</v>
      </c>
      <c r="H614" s="399" t="s">
        <v>1239</v>
      </c>
      <c r="I614" s="399" t="s">
        <v>1239</v>
      </c>
      <c r="J614" s="399" t="s">
        <v>2329</v>
      </c>
      <c r="K614" s="789">
        <v>44774</v>
      </c>
      <c r="L614" s="399">
        <v>0</v>
      </c>
      <c r="M614" s="399">
        <v>0</v>
      </c>
      <c r="N614" s="399">
        <v>0</v>
      </c>
      <c r="O614" s="399">
        <v>0</v>
      </c>
      <c r="P614" s="399">
        <v>0</v>
      </c>
      <c r="Q614" s="399">
        <v>0</v>
      </c>
      <c r="R614" s="399"/>
      <c r="S614" s="399"/>
      <c r="T614" s="399"/>
      <c r="U614" s="399"/>
      <c r="V614" s="399"/>
      <c r="W614" s="399"/>
      <c r="X614" s="399"/>
      <c r="Y614" s="399"/>
      <c r="Z614" s="399"/>
      <c r="AA614" s="399">
        <v>0</v>
      </c>
      <c r="AB614" s="399"/>
      <c r="AC614" s="399"/>
      <c r="AD614" s="399"/>
      <c r="AE614" s="399"/>
      <c r="AF614" s="399"/>
      <c r="AG614" s="399"/>
      <c r="AH614" s="399"/>
      <c r="AI614" s="399"/>
      <c r="AJ614" s="399"/>
      <c r="AK614" s="399"/>
      <c r="AL614" s="399"/>
      <c r="AM614" s="399"/>
      <c r="AN614" s="399"/>
      <c r="AO614" s="399"/>
      <c r="AP614" s="399"/>
      <c r="AQ614" s="399"/>
      <c r="AR614" s="399"/>
      <c r="AS614" s="399"/>
      <c r="AT614" s="399"/>
      <c r="AU614" s="399"/>
      <c r="AV614" s="399"/>
      <c r="AW614" s="399"/>
      <c r="AX614" s="399"/>
      <c r="AY614" s="399"/>
      <c r="AZ614" s="399">
        <v>0</v>
      </c>
      <c r="BA614" s="399"/>
      <c r="BB614" s="399"/>
      <c r="BC614" s="399"/>
      <c r="BD614" s="399"/>
      <c r="BE614" s="399"/>
      <c r="BF614" s="399"/>
      <c r="BG614" s="399"/>
      <c r="BH614" s="399"/>
      <c r="BI614" s="399">
        <v>0.68</v>
      </c>
      <c r="BJ614" s="399">
        <v>3.24</v>
      </c>
      <c r="BK614" s="399">
        <v>42.53</v>
      </c>
      <c r="BL614" s="399">
        <v>4</v>
      </c>
      <c r="BM614" s="399"/>
      <c r="BN614" s="399"/>
      <c r="BO614" s="399"/>
      <c r="BP614" s="399"/>
      <c r="BQ614" s="399"/>
      <c r="BR614" s="399"/>
      <c r="BS614" s="399"/>
      <c r="BT614" s="399"/>
      <c r="BU614" s="399"/>
      <c r="BV614" s="399"/>
      <c r="BW614" s="399"/>
      <c r="BX614" s="399"/>
      <c r="BY614" s="399"/>
      <c r="BZ614" s="399"/>
      <c r="CA614" s="399"/>
      <c r="CB614" s="399"/>
      <c r="CC614" s="399"/>
      <c r="CD614" s="399"/>
      <c r="CE614" s="399"/>
      <c r="CF614" s="399"/>
      <c r="CG614" s="399"/>
      <c r="CH614" s="399"/>
      <c r="CI614" s="399"/>
      <c r="CJ614" s="399">
        <v>-0.03</v>
      </c>
      <c r="CK614" s="399"/>
      <c r="CL614" s="399"/>
      <c r="CM614" s="399"/>
      <c r="CN614" s="399"/>
      <c r="CO614" s="399">
        <v>0</v>
      </c>
      <c r="CP614" s="399">
        <v>0</v>
      </c>
      <c r="CQ614" s="399">
        <v>31</v>
      </c>
      <c r="CR614" s="399"/>
      <c r="CS614" s="399"/>
      <c r="CT614" s="399"/>
      <c r="CU614" s="399"/>
      <c r="CV614" s="399"/>
      <c r="CW614" s="399"/>
      <c r="CX614" s="399"/>
      <c r="CY614" s="399"/>
      <c r="CZ614" s="399"/>
      <c r="DA614" s="399"/>
      <c r="DB614" s="399"/>
      <c r="DC614" s="399"/>
      <c r="DD614" s="399"/>
      <c r="DE614" s="399"/>
      <c r="DF614" s="399"/>
      <c r="DG614" s="399"/>
      <c r="DH614" s="399"/>
      <c r="DI614" s="399"/>
      <c r="DJ614" s="399"/>
      <c r="DK614" s="399">
        <v>0</v>
      </c>
      <c r="DL614" s="399"/>
      <c r="DM614" s="399"/>
      <c r="DN614" s="399"/>
      <c r="DO614" s="399"/>
      <c r="DP614" s="399"/>
      <c r="DQ614" s="399"/>
      <c r="DR614" s="399"/>
      <c r="DS614" s="399"/>
      <c r="DT614" s="399"/>
      <c r="DU614" s="399"/>
      <c r="DV614" s="399"/>
      <c r="DW614" s="399"/>
      <c r="DX614" s="399"/>
      <c r="DY614" s="399"/>
      <c r="DZ614" s="399"/>
      <c r="EA614" s="399"/>
      <c r="EB614" s="399"/>
      <c r="EC614" s="399"/>
      <c r="ED614" s="399"/>
      <c r="EE614" s="399"/>
      <c r="EF614" s="399"/>
      <c r="EG614" s="399"/>
      <c r="EH614" s="399"/>
      <c r="EI614" s="399"/>
      <c r="EJ614" s="399"/>
      <c r="EK614" s="399"/>
      <c r="EL614" s="399"/>
      <c r="EM614" s="399"/>
      <c r="EN614" s="399"/>
      <c r="EO614" s="399"/>
      <c r="EP614" s="399"/>
      <c r="EQ614" s="399"/>
      <c r="ER614" s="399"/>
      <c r="ES614" s="399"/>
      <c r="ET614" s="399"/>
      <c r="EU614" s="399"/>
      <c r="EV614" s="399">
        <v>218</v>
      </c>
      <c r="EW614" s="399"/>
      <c r="EX614" s="399"/>
      <c r="EY614" s="399"/>
      <c r="EZ614" s="399"/>
      <c r="FA614" s="399">
        <v>0</v>
      </c>
      <c r="FB614" s="399"/>
      <c r="FC614" s="399"/>
      <c r="FD614" s="399"/>
      <c r="FE614" s="399"/>
      <c r="FF614" s="399">
        <v>0</v>
      </c>
      <c r="FG614" s="399">
        <v>0</v>
      </c>
      <c r="FH614" s="399">
        <v>0</v>
      </c>
      <c r="FI614" s="399">
        <v>0</v>
      </c>
    </row>
    <row r="615" spans="1:165">
      <c r="A615" s="399">
        <v>621</v>
      </c>
      <c r="B615" s="399" t="s">
        <v>956</v>
      </c>
      <c r="C615" s="399" t="s">
        <v>2328</v>
      </c>
      <c r="D615" s="399" t="s">
        <v>2335</v>
      </c>
      <c r="E615" s="399" t="s">
        <v>894</v>
      </c>
      <c r="F615" s="399" t="s">
        <v>2342</v>
      </c>
      <c r="G615" s="399" t="s">
        <v>2340</v>
      </c>
      <c r="H615" s="399" t="s">
        <v>1239</v>
      </c>
      <c r="I615" s="399" t="s">
        <v>1239</v>
      </c>
      <c r="J615" s="399" t="s">
        <v>2329</v>
      </c>
      <c r="K615" s="789">
        <v>44774</v>
      </c>
      <c r="L615" s="399">
        <v>0</v>
      </c>
      <c r="M615" s="399">
        <v>0</v>
      </c>
      <c r="N615" s="399">
        <v>3.7090000000000001</v>
      </c>
      <c r="O615" s="399">
        <v>3.7090000000000001</v>
      </c>
      <c r="P615" s="399">
        <v>3.7090000000000001</v>
      </c>
      <c r="Q615" s="399">
        <v>3.7090000000000001</v>
      </c>
      <c r="R615" s="399"/>
      <c r="S615" s="399">
        <v>521.86</v>
      </c>
      <c r="T615" s="399">
        <v>141.32</v>
      </c>
      <c r="U615" s="399"/>
      <c r="V615" s="399">
        <v>2459.7346200000002</v>
      </c>
      <c r="W615" s="399">
        <v>2459.7346200000002</v>
      </c>
      <c r="X615" s="399">
        <v>1922.48597</v>
      </c>
      <c r="Y615" s="399">
        <v>0</v>
      </c>
      <c r="Z615" s="399">
        <v>225.05115060848016</v>
      </c>
      <c r="AA615" s="399">
        <v>0</v>
      </c>
      <c r="AB615" s="399">
        <v>0</v>
      </c>
      <c r="AC615" s="399">
        <v>0</v>
      </c>
      <c r="AD615" s="399">
        <v>398.91705244604907</v>
      </c>
      <c r="AE615" s="399">
        <v>1205.2424981284705</v>
      </c>
      <c r="AF615" s="399">
        <v>524.15191148863619</v>
      </c>
      <c r="AG615" s="399">
        <v>0</v>
      </c>
      <c r="AH615" s="399">
        <v>0</v>
      </c>
      <c r="AI615" s="399">
        <v>0</v>
      </c>
      <c r="AJ615" s="399">
        <v>0</v>
      </c>
      <c r="AK615" s="399">
        <v>0</v>
      </c>
      <c r="AL615" s="399">
        <v>34.797809622338193</v>
      </c>
      <c r="AM615" s="399"/>
      <c r="AN615" s="399">
        <v>5.1438885290115568</v>
      </c>
      <c r="AO615" s="399">
        <v>0</v>
      </c>
      <c r="AP615" s="399">
        <v>0</v>
      </c>
      <c r="AQ615" s="399">
        <v>0</v>
      </c>
      <c r="AR615" s="399">
        <v>0</v>
      </c>
      <c r="AS615" s="399">
        <v>0</v>
      </c>
      <c r="AT615" s="399">
        <v>0</v>
      </c>
      <c r="AU615" s="399">
        <v>0</v>
      </c>
      <c r="AV615" s="399">
        <v>0</v>
      </c>
      <c r="AW615" s="399">
        <v>0</v>
      </c>
      <c r="AX615" s="399">
        <v>0</v>
      </c>
      <c r="AY615" s="399">
        <v>0</v>
      </c>
      <c r="AZ615" s="399">
        <v>0</v>
      </c>
      <c r="BA615" s="399"/>
      <c r="BB615" s="399">
        <v>0</v>
      </c>
      <c r="BC615" s="399">
        <v>0</v>
      </c>
      <c r="BD615" s="399">
        <v>0</v>
      </c>
      <c r="BE615" s="399">
        <v>0</v>
      </c>
      <c r="BF615" s="399">
        <v>0</v>
      </c>
      <c r="BG615" s="399">
        <v>66.409266722786754</v>
      </c>
      <c r="BH615" s="399">
        <v>0</v>
      </c>
      <c r="BI615" s="399">
        <v>0</v>
      </c>
      <c r="BJ615" s="399">
        <v>0</v>
      </c>
      <c r="BK615" s="399">
        <v>0</v>
      </c>
      <c r="BL615" s="399">
        <v>0</v>
      </c>
      <c r="BM615" s="399"/>
      <c r="BN615" s="399"/>
      <c r="BO615" s="399"/>
      <c r="BP615" s="399"/>
      <c r="BQ615" s="399"/>
      <c r="BR615" s="399">
        <v>230.69980000000001</v>
      </c>
      <c r="BS615" s="399"/>
      <c r="BT615" s="399"/>
      <c r="BU615" s="399"/>
      <c r="BV615" s="399">
        <v>590.56117821142288</v>
      </c>
      <c r="BW615" s="399"/>
      <c r="BX615" s="399"/>
      <c r="BY615" s="399"/>
      <c r="BZ615" s="399"/>
      <c r="CA615" s="399"/>
      <c r="CB615" s="399"/>
      <c r="CC615" s="399"/>
      <c r="CD615" s="399"/>
      <c r="CE615" s="399"/>
      <c r="CF615" s="399"/>
      <c r="CG615" s="399"/>
      <c r="CH615" s="399"/>
      <c r="CI615" s="399">
        <v>1692.2422999999999</v>
      </c>
      <c r="CJ615" s="399">
        <v>-472.32301000000052</v>
      </c>
      <c r="CK615" s="399"/>
      <c r="CL615" s="399"/>
      <c r="CM615" s="399"/>
      <c r="CN615" s="399"/>
      <c r="CO615" s="399">
        <v>-537.24865000000011</v>
      </c>
      <c r="CP615" s="399">
        <v>0</v>
      </c>
      <c r="CQ615" s="399">
        <v>31</v>
      </c>
      <c r="CR615" s="399">
        <v>-16.526329865499292</v>
      </c>
      <c r="CS615" s="399">
        <v>0</v>
      </c>
      <c r="CT615" s="399">
        <v>0</v>
      </c>
      <c r="CU615" s="399">
        <v>0</v>
      </c>
      <c r="CV615" s="399">
        <v>0</v>
      </c>
      <c r="CW615" s="399">
        <v>0</v>
      </c>
      <c r="CX615" s="399">
        <v>0</v>
      </c>
      <c r="CY615" s="399">
        <v>0</v>
      </c>
      <c r="CZ615" s="399">
        <v>-1.8999235029441479</v>
      </c>
      <c r="DA615" s="399">
        <v>0</v>
      </c>
      <c r="DB615" s="399">
        <v>0</v>
      </c>
      <c r="DC615" s="399">
        <v>0</v>
      </c>
      <c r="DD615" s="399">
        <v>0</v>
      </c>
      <c r="DE615" s="399">
        <v>0</v>
      </c>
      <c r="DF615" s="399">
        <v>0</v>
      </c>
      <c r="DG615" s="399">
        <v>0</v>
      </c>
      <c r="DH615" s="399">
        <v>0</v>
      </c>
      <c r="DI615" s="399">
        <v>-12.680205813623871</v>
      </c>
      <c r="DJ615" s="399"/>
      <c r="DK615" s="399">
        <v>0</v>
      </c>
      <c r="DL615" s="399">
        <v>0</v>
      </c>
      <c r="DM615" s="399">
        <v>0</v>
      </c>
      <c r="DN615" s="399">
        <v>0</v>
      </c>
      <c r="DO615" s="399">
        <v>-1.738783995157398</v>
      </c>
      <c r="DP615" s="399">
        <v>-0.20741655377396739</v>
      </c>
      <c r="DQ615" s="399">
        <v>0</v>
      </c>
      <c r="DR615" s="399">
        <v>0</v>
      </c>
      <c r="DS615" s="399"/>
      <c r="DT615" s="399"/>
      <c r="DU615" s="399"/>
      <c r="DV615" s="399">
        <v>1205.2424981284705</v>
      </c>
      <c r="DW615" s="399">
        <v>0</v>
      </c>
      <c r="DX615" s="399">
        <v>0</v>
      </c>
      <c r="DY615" s="399">
        <v>-537.24865000000023</v>
      </c>
      <c r="DZ615" s="399">
        <v>0</v>
      </c>
      <c r="EA615" s="399">
        <v>0</v>
      </c>
      <c r="EB615" s="399">
        <v>0</v>
      </c>
      <c r="EC615" s="399">
        <v>-520.68812175937921</v>
      </c>
      <c r="ED615" s="399">
        <v>0</v>
      </c>
      <c r="EE615" s="399">
        <v>0</v>
      </c>
      <c r="EF615" s="399">
        <v>0</v>
      </c>
      <c r="EG615" s="399">
        <v>0</v>
      </c>
      <c r="EH615" s="399">
        <v>0</v>
      </c>
      <c r="EI615" s="399">
        <v>0</v>
      </c>
      <c r="EJ615" s="399">
        <v>0</v>
      </c>
      <c r="EK615" s="399">
        <v>0</v>
      </c>
      <c r="EL615" s="399">
        <v>0</v>
      </c>
      <c r="EM615" s="399">
        <v>0</v>
      </c>
      <c r="EN615" s="399">
        <v>0</v>
      </c>
      <c r="EO615" s="399">
        <v>0</v>
      </c>
      <c r="EP615" s="399">
        <v>0</v>
      </c>
      <c r="EQ615" s="399">
        <v>0</v>
      </c>
      <c r="ER615" s="399">
        <v>0</v>
      </c>
      <c r="ES615" s="399">
        <v>0</v>
      </c>
      <c r="ET615" s="399">
        <v>0</v>
      </c>
      <c r="EU615" s="399">
        <v>0</v>
      </c>
      <c r="EV615" s="399">
        <v>218</v>
      </c>
      <c r="EW615" s="399">
        <v>0</v>
      </c>
      <c r="EX615" s="399">
        <v>0</v>
      </c>
      <c r="EY615" s="399">
        <v>0</v>
      </c>
      <c r="EZ615" s="399"/>
      <c r="FA615" s="399">
        <v>0</v>
      </c>
      <c r="FB615" s="399"/>
      <c r="FC615" s="399"/>
      <c r="FD615" s="399"/>
      <c r="FE615" s="399"/>
      <c r="FF615" s="399">
        <v>0</v>
      </c>
      <c r="FG615" s="399">
        <v>0</v>
      </c>
      <c r="FH615" s="399">
        <v>0</v>
      </c>
      <c r="FI615" s="399">
        <v>0</v>
      </c>
    </row>
    <row r="616" spans="1:165">
      <c r="A616" s="399">
        <v>622</v>
      </c>
      <c r="B616" s="399" t="s">
        <v>2361</v>
      </c>
      <c r="C616" s="399" t="s">
        <v>2328</v>
      </c>
      <c r="D616" s="399" t="s">
        <v>2335</v>
      </c>
      <c r="E616" s="399" t="s">
        <v>894</v>
      </c>
      <c r="F616" s="399" t="s">
        <v>2342</v>
      </c>
      <c r="G616" s="399" t="s">
        <v>2340</v>
      </c>
      <c r="H616" s="399" t="s">
        <v>1239</v>
      </c>
      <c r="I616" s="399" t="s">
        <v>1239</v>
      </c>
      <c r="J616" s="399" t="s">
        <v>2329</v>
      </c>
      <c r="K616" s="789">
        <v>44774</v>
      </c>
      <c r="L616" s="399">
        <v>0</v>
      </c>
      <c r="M616" s="399">
        <v>0</v>
      </c>
      <c r="N616" s="399">
        <v>0.2</v>
      </c>
      <c r="O616" s="399">
        <v>0.2</v>
      </c>
      <c r="P616" s="399">
        <v>0.2</v>
      </c>
      <c r="Q616" s="399">
        <v>0.2</v>
      </c>
      <c r="R616" s="399"/>
      <c r="S616" s="399">
        <v>521.86</v>
      </c>
      <c r="T616" s="399">
        <v>141.32</v>
      </c>
      <c r="U616" s="399"/>
      <c r="V616" s="399">
        <v>132.63600000000002</v>
      </c>
      <c r="W616" s="399">
        <v>132.63600000000002</v>
      </c>
      <c r="X616" s="399">
        <v>103.666</v>
      </c>
      <c r="Y616" s="399">
        <v>0</v>
      </c>
      <c r="Z616" s="399">
        <v>12.135408498704781</v>
      </c>
      <c r="AA616" s="399">
        <v>0</v>
      </c>
      <c r="AB616" s="399">
        <v>0</v>
      </c>
      <c r="AC616" s="399">
        <v>0</v>
      </c>
      <c r="AD616" s="399">
        <v>21.510760444650799</v>
      </c>
      <c r="AE616" s="399">
        <v>64.990158971608011</v>
      </c>
      <c r="AF616" s="399">
        <v>28.263786006397204</v>
      </c>
      <c r="AG616" s="399">
        <v>0</v>
      </c>
      <c r="AH616" s="399">
        <v>0</v>
      </c>
      <c r="AI616" s="399">
        <v>0</v>
      </c>
      <c r="AJ616" s="399">
        <v>0</v>
      </c>
      <c r="AK616" s="399">
        <v>0</v>
      </c>
      <c r="AL616" s="399">
        <v>1.8763984697944562</v>
      </c>
      <c r="AM616" s="399"/>
      <c r="AN616" s="399">
        <v>0.27737333669515002</v>
      </c>
      <c r="AO616" s="399">
        <v>0</v>
      </c>
      <c r="AP616" s="399">
        <v>0</v>
      </c>
      <c r="AQ616" s="399">
        <v>0</v>
      </c>
      <c r="AR616" s="399">
        <v>0</v>
      </c>
      <c r="AS616" s="399">
        <v>0</v>
      </c>
      <c r="AT616" s="399">
        <v>0</v>
      </c>
      <c r="AU616" s="399">
        <v>0</v>
      </c>
      <c r="AV616" s="399">
        <v>0</v>
      </c>
      <c r="AW616" s="399">
        <v>0</v>
      </c>
      <c r="AX616" s="399">
        <v>0</v>
      </c>
      <c r="AY616" s="399">
        <v>0</v>
      </c>
      <c r="AZ616" s="399">
        <v>0</v>
      </c>
      <c r="BA616" s="399"/>
      <c r="BB616" s="399">
        <v>0</v>
      </c>
      <c r="BC616" s="399">
        <v>0</v>
      </c>
      <c r="BD616" s="399">
        <v>0</v>
      </c>
      <c r="BE616" s="399">
        <v>0</v>
      </c>
      <c r="BF616" s="399">
        <v>0</v>
      </c>
      <c r="BG616" s="399">
        <v>3.5809796021993403</v>
      </c>
      <c r="BH616" s="399">
        <v>0</v>
      </c>
      <c r="BI616" s="399">
        <v>0</v>
      </c>
      <c r="BJ616" s="399">
        <v>0</v>
      </c>
      <c r="BK616" s="399">
        <v>0</v>
      </c>
      <c r="BL616" s="399">
        <v>0</v>
      </c>
      <c r="BM616" s="399"/>
      <c r="BN616" s="399"/>
      <c r="BO616" s="399"/>
      <c r="BP616" s="399"/>
      <c r="BQ616" s="399"/>
      <c r="BR616" s="399">
        <v>12.440000000000001</v>
      </c>
      <c r="BS616" s="399"/>
      <c r="BT616" s="399"/>
      <c r="BU616" s="399"/>
      <c r="BV616" s="399">
        <v>31.844765608596546</v>
      </c>
      <c r="BW616" s="399"/>
      <c r="BX616" s="399"/>
      <c r="BY616" s="399"/>
      <c r="BZ616" s="399"/>
      <c r="CA616" s="399"/>
      <c r="CB616" s="399"/>
      <c r="CC616" s="399"/>
      <c r="CD616" s="399"/>
      <c r="CE616" s="399"/>
      <c r="CF616" s="399"/>
      <c r="CG616" s="399"/>
      <c r="CH616" s="399"/>
      <c r="CI616" s="399">
        <v>91.225999999999999</v>
      </c>
      <c r="CJ616" s="399">
        <v>-25.52200000000002</v>
      </c>
      <c r="CK616" s="399"/>
      <c r="CL616" s="399"/>
      <c r="CM616" s="399"/>
      <c r="CN616" s="399"/>
      <c r="CO616" s="399">
        <v>-28.970000000000006</v>
      </c>
      <c r="CP616" s="399">
        <v>0</v>
      </c>
      <c r="CQ616" s="399">
        <v>31</v>
      </c>
      <c r="CR616" s="399">
        <v>-0.89114747185220722</v>
      </c>
      <c r="CS616" s="399">
        <v>0</v>
      </c>
      <c r="CT616" s="399">
        <v>0</v>
      </c>
      <c r="CU616" s="399">
        <v>0</v>
      </c>
      <c r="CV616" s="399">
        <v>0</v>
      </c>
      <c r="CW616" s="399">
        <v>0</v>
      </c>
      <c r="CX616" s="399">
        <v>0</v>
      </c>
      <c r="CY616" s="399">
        <v>0</v>
      </c>
      <c r="CZ616" s="399">
        <v>-0.10244936656479808</v>
      </c>
      <c r="DA616" s="399">
        <v>0</v>
      </c>
      <c r="DB616" s="399">
        <v>0</v>
      </c>
      <c r="DC616" s="399">
        <v>0</v>
      </c>
      <c r="DD616" s="399">
        <v>0</v>
      </c>
      <c r="DE616" s="399">
        <v>0</v>
      </c>
      <c r="DF616" s="399">
        <v>0</v>
      </c>
      <c r="DG616" s="399">
        <v>0</v>
      </c>
      <c r="DH616" s="399">
        <v>0</v>
      </c>
      <c r="DI616" s="399">
        <v>-0.68375334664997922</v>
      </c>
      <c r="DJ616" s="399"/>
      <c r="DK616" s="399">
        <v>0</v>
      </c>
      <c r="DL616" s="399">
        <v>0</v>
      </c>
      <c r="DM616" s="399">
        <v>0</v>
      </c>
      <c r="DN616" s="399">
        <v>0</v>
      </c>
      <c r="DO616" s="399">
        <v>-9.3760258568746035E-2</v>
      </c>
      <c r="DP616" s="399">
        <v>-1.1184500068696035E-2</v>
      </c>
      <c r="DQ616" s="399">
        <v>0</v>
      </c>
      <c r="DR616" s="399">
        <v>0</v>
      </c>
      <c r="DS616" s="399"/>
      <c r="DT616" s="399"/>
      <c r="DU616" s="399"/>
      <c r="DV616" s="399">
        <v>64.990158971608011</v>
      </c>
      <c r="DW616" s="399">
        <v>0</v>
      </c>
      <c r="DX616" s="399">
        <v>0</v>
      </c>
      <c r="DY616" s="399">
        <v>-28.970000000000013</v>
      </c>
      <c r="DZ616" s="399">
        <v>0</v>
      </c>
      <c r="EA616" s="399">
        <v>0</v>
      </c>
      <c r="EB616" s="399">
        <v>0</v>
      </c>
      <c r="EC616" s="399">
        <v>-28.077008452918811</v>
      </c>
      <c r="ED616" s="399">
        <v>0</v>
      </c>
      <c r="EE616" s="399">
        <v>0</v>
      </c>
      <c r="EF616" s="399">
        <v>0</v>
      </c>
      <c r="EG616" s="399">
        <v>0</v>
      </c>
      <c r="EH616" s="399">
        <v>0</v>
      </c>
      <c r="EI616" s="399">
        <v>0</v>
      </c>
      <c r="EJ616" s="399">
        <v>0</v>
      </c>
      <c r="EK616" s="399">
        <v>0</v>
      </c>
      <c r="EL616" s="399">
        <v>0</v>
      </c>
      <c r="EM616" s="399">
        <v>0</v>
      </c>
      <c r="EN616" s="399">
        <v>0</v>
      </c>
      <c r="EO616" s="399">
        <v>0</v>
      </c>
      <c r="EP616" s="399">
        <v>0</v>
      </c>
      <c r="EQ616" s="399">
        <v>0</v>
      </c>
      <c r="ER616" s="399">
        <v>0</v>
      </c>
      <c r="ES616" s="399">
        <v>0</v>
      </c>
      <c r="ET616" s="399">
        <v>0</v>
      </c>
      <c r="EU616" s="399">
        <v>0</v>
      </c>
      <c r="EV616" s="399">
        <v>218</v>
      </c>
      <c r="EW616" s="399">
        <v>0</v>
      </c>
      <c r="EX616" s="399">
        <v>0</v>
      </c>
      <c r="EY616" s="399">
        <v>0</v>
      </c>
      <c r="EZ616" s="399"/>
      <c r="FA616" s="399">
        <v>0</v>
      </c>
      <c r="FB616" s="399"/>
      <c r="FC616" s="399"/>
      <c r="FD616" s="399"/>
      <c r="FE616" s="399"/>
      <c r="FF616" s="399">
        <v>0</v>
      </c>
      <c r="FG616" s="399">
        <v>0</v>
      </c>
      <c r="FH616" s="399">
        <v>0</v>
      </c>
      <c r="FI616" s="399">
        <v>0</v>
      </c>
    </row>
    <row r="617" spans="1:165">
      <c r="A617" s="399">
        <v>623</v>
      </c>
      <c r="B617" s="399" t="s">
        <v>956</v>
      </c>
      <c r="C617" s="399" t="s">
        <v>2328</v>
      </c>
      <c r="D617" s="399" t="s">
        <v>2335</v>
      </c>
      <c r="E617" s="399" t="s">
        <v>894</v>
      </c>
      <c r="F617" s="399" t="s">
        <v>2342</v>
      </c>
      <c r="G617" s="399" t="s">
        <v>2341</v>
      </c>
      <c r="H617" s="399" t="s">
        <v>1239</v>
      </c>
      <c r="I617" s="399" t="s">
        <v>1239</v>
      </c>
      <c r="J617" s="399" t="s">
        <v>2329</v>
      </c>
      <c r="K617" s="789">
        <v>44774</v>
      </c>
      <c r="L617" s="399">
        <v>0</v>
      </c>
      <c r="M617" s="399">
        <v>0</v>
      </c>
      <c r="N617" s="399">
        <v>5.0010000000000003</v>
      </c>
      <c r="O617" s="399">
        <v>2.0004</v>
      </c>
      <c r="P617" s="399">
        <v>5.0010000000000003</v>
      </c>
      <c r="Q617" s="399">
        <v>2.0004</v>
      </c>
      <c r="R617" s="399"/>
      <c r="S617" s="399">
        <v>521.86</v>
      </c>
      <c r="T617" s="399">
        <v>141.32</v>
      </c>
      <c r="U617" s="399"/>
      <c r="V617" s="399">
        <v>3316.5631800000001</v>
      </c>
      <c r="W617" s="399">
        <v>3316.5631800000001</v>
      </c>
      <c r="X617" s="399">
        <v>2592.16833</v>
      </c>
      <c r="Y617" s="399">
        <v>0</v>
      </c>
      <c r="Z617" s="399">
        <v>303.44588951011303</v>
      </c>
      <c r="AA617" s="399">
        <v>0</v>
      </c>
      <c r="AB617" s="399">
        <v>0</v>
      </c>
      <c r="AC617" s="399">
        <v>0</v>
      </c>
      <c r="AD617" s="399">
        <v>537.87656491849327</v>
      </c>
      <c r="AE617" s="399">
        <v>1625.0789250850582</v>
      </c>
      <c r="AF617" s="399">
        <v>706.73596908996205</v>
      </c>
      <c r="AG617" s="399">
        <v>0</v>
      </c>
      <c r="AH617" s="399">
        <v>0</v>
      </c>
      <c r="AI617" s="399">
        <v>0</v>
      </c>
      <c r="AJ617" s="399">
        <v>0</v>
      </c>
      <c r="AK617" s="399">
        <v>0</v>
      </c>
      <c r="AL617" s="399">
        <v>46.919343737210376</v>
      </c>
      <c r="AM617" s="399"/>
      <c r="AN617" s="399">
        <v>6.9357202840622261</v>
      </c>
      <c r="AO617" s="399">
        <v>0</v>
      </c>
      <c r="AP617" s="399">
        <v>0</v>
      </c>
      <c r="AQ617" s="399">
        <v>0</v>
      </c>
      <c r="AR617" s="399">
        <v>0</v>
      </c>
      <c r="AS617" s="399">
        <v>0</v>
      </c>
      <c r="AT617" s="399">
        <v>0</v>
      </c>
      <c r="AU617" s="399">
        <v>0</v>
      </c>
      <c r="AV617" s="399">
        <v>0</v>
      </c>
      <c r="AW617" s="399">
        <v>0</v>
      </c>
      <c r="AX617" s="399">
        <v>0</v>
      </c>
      <c r="AY617" s="399">
        <v>0</v>
      </c>
      <c r="AZ617" s="399">
        <v>0</v>
      </c>
      <c r="BA617" s="399"/>
      <c r="BB617" s="399">
        <v>0</v>
      </c>
      <c r="BC617" s="399">
        <v>0</v>
      </c>
      <c r="BD617" s="399">
        <v>0</v>
      </c>
      <c r="BE617" s="399">
        <v>0</v>
      </c>
      <c r="BF617" s="399">
        <v>0</v>
      </c>
      <c r="BG617" s="399">
        <v>89.542394952994499</v>
      </c>
      <c r="BH617" s="399">
        <v>0</v>
      </c>
      <c r="BI617" s="399">
        <v>0</v>
      </c>
      <c r="BJ617" s="399">
        <v>0</v>
      </c>
      <c r="BK617" s="399">
        <v>0</v>
      </c>
      <c r="BL617" s="399">
        <v>0</v>
      </c>
      <c r="BM617" s="399"/>
      <c r="BN617" s="399"/>
      <c r="BO617" s="399"/>
      <c r="BP617" s="399"/>
      <c r="BQ617" s="399"/>
      <c r="BR617" s="399"/>
      <c r="BS617" s="399">
        <v>1679.725878</v>
      </c>
      <c r="BT617" s="399"/>
      <c r="BU617" s="399"/>
      <c r="BV617" s="399">
        <v>796.27836404295658</v>
      </c>
      <c r="BW617" s="399"/>
      <c r="BX617" s="399"/>
      <c r="BY617" s="399"/>
      <c r="BZ617" s="399"/>
      <c r="CA617" s="399"/>
      <c r="CB617" s="399"/>
      <c r="CC617" s="399"/>
      <c r="CD617" s="399"/>
      <c r="CE617" s="399"/>
      <c r="CF617" s="399"/>
      <c r="CG617" s="399"/>
      <c r="CH617" s="399"/>
      <c r="CI617" s="399">
        <v>912.26</v>
      </c>
      <c r="CJ617" s="399">
        <v>-255.18343600000003</v>
      </c>
      <c r="CK617" s="399"/>
      <c r="CL617" s="399"/>
      <c r="CM617" s="399"/>
      <c r="CN617" s="399"/>
      <c r="CO617" s="399">
        <v>-724.39485000000013</v>
      </c>
      <c r="CP617" s="399">
        <v>0</v>
      </c>
      <c r="CQ617" s="399">
        <v>31</v>
      </c>
      <c r="CR617" s="399">
        <v>-22.283142533664659</v>
      </c>
      <c r="CS617" s="399">
        <v>0</v>
      </c>
      <c r="CT617" s="399">
        <v>0</v>
      </c>
      <c r="CU617" s="399">
        <v>0</v>
      </c>
      <c r="CV617" s="399">
        <v>0</v>
      </c>
      <c r="CW617" s="399">
        <v>0</v>
      </c>
      <c r="CX617" s="399">
        <v>0</v>
      </c>
      <c r="CY617" s="399">
        <v>0</v>
      </c>
      <c r="CZ617" s="399">
        <v>-2.5617464109527646</v>
      </c>
      <c r="DA617" s="399">
        <v>0</v>
      </c>
      <c r="DB617" s="399">
        <v>0</v>
      </c>
      <c r="DC617" s="399">
        <v>0</v>
      </c>
      <c r="DD617" s="399">
        <v>0</v>
      </c>
      <c r="DE617" s="399">
        <v>0</v>
      </c>
      <c r="DF617" s="399">
        <v>0</v>
      </c>
      <c r="DG617" s="399">
        <v>0</v>
      </c>
      <c r="DH617" s="399">
        <v>0</v>
      </c>
      <c r="DI617" s="399">
        <v>-17.097252432982714</v>
      </c>
      <c r="DJ617" s="399"/>
      <c r="DK617" s="399">
        <v>0</v>
      </c>
      <c r="DL617" s="399">
        <v>0</v>
      </c>
      <c r="DM617" s="399">
        <v>0</v>
      </c>
      <c r="DN617" s="399">
        <v>0</v>
      </c>
      <c r="DO617" s="399">
        <v>-2.3444752655114911</v>
      </c>
      <c r="DP617" s="399">
        <v>-0.27966842421774363</v>
      </c>
      <c r="DQ617" s="399">
        <v>0</v>
      </c>
      <c r="DR617" s="399">
        <v>0</v>
      </c>
      <c r="DS617" s="399"/>
      <c r="DT617" s="399"/>
      <c r="DU617" s="399"/>
      <c r="DV617" s="399">
        <v>1625.0789250850582</v>
      </c>
      <c r="DW617" s="399">
        <v>0</v>
      </c>
      <c r="DX617" s="399">
        <v>0</v>
      </c>
      <c r="DY617" s="399">
        <v>-724.39484999999991</v>
      </c>
      <c r="DZ617" s="399">
        <v>0</v>
      </c>
      <c r="EA617" s="399">
        <v>0</v>
      </c>
      <c r="EB617" s="399">
        <v>0</v>
      </c>
      <c r="EC617" s="399">
        <v>-702.06559636523468</v>
      </c>
      <c r="ED617" s="399">
        <v>0</v>
      </c>
      <c r="EE617" s="399">
        <v>0</v>
      </c>
      <c r="EF617" s="399">
        <v>0</v>
      </c>
      <c r="EG617" s="399">
        <v>0</v>
      </c>
      <c r="EH617" s="399">
        <v>0</v>
      </c>
      <c r="EI617" s="399">
        <v>0</v>
      </c>
      <c r="EJ617" s="399">
        <v>0</v>
      </c>
      <c r="EK617" s="399">
        <v>0</v>
      </c>
      <c r="EL617" s="399">
        <v>0</v>
      </c>
      <c r="EM617" s="399">
        <v>0</v>
      </c>
      <c r="EN617" s="399">
        <v>0</v>
      </c>
      <c r="EO617" s="399">
        <v>0</v>
      </c>
      <c r="EP617" s="399">
        <v>0</v>
      </c>
      <c r="EQ617" s="399">
        <v>0</v>
      </c>
      <c r="ER617" s="399">
        <v>0</v>
      </c>
      <c r="ES617" s="399">
        <v>0</v>
      </c>
      <c r="ET617" s="399">
        <v>0</v>
      </c>
      <c r="EU617" s="399">
        <v>0</v>
      </c>
      <c r="EV617" s="399">
        <v>218</v>
      </c>
      <c r="EW617" s="399">
        <v>0</v>
      </c>
      <c r="EX617" s="399">
        <v>0</v>
      </c>
      <c r="EY617" s="399">
        <v>0</v>
      </c>
      <c r="EZ617" s="399"/>
      <c r="FA617" s="399">
        <v>0</v>
      </c>
      <c r="FB617" s="399"/>
      <c r="FC617" s="399"/>
      <c r="FD617" s="399"/>
      <c r="FE617" s="399"/>
      <c r="FF617" s="399">
        <v>0</v>
      </c>
      <c r="FG617" s="399">
        <v>0</v>
      </c>
      <c r="FH617" s="399">
        <v>0</v>
      </c>
      <c r="FI617" s="399">
        <v>0</v>
      </c>
    </row>
    <row r="618" spans="1:165">
      <c r="A618" s="399">
        <v>625</v>
      </c>
      <c r="B618" s="399" t="s">
        <v>956</v>
      </c>
      <c r="C618" s="399" t="s">
        <v>913</v>
      </c>
      <c r="D618" s="399" t="s">
        <v>533</v>
      </c>
      <c r="E618" s="399" t="s">
        <v>1239</v>
      </c>
      <c r="F618" s="399" t="s">
        <v>1239</v>
      </c>
      <c r="G618" s="399" t="s">
        <v>1239</v>
      </c>
      <c r="H618" s="399" t="s">
        <v>2399</v>
      </c>
      <c r="I618" s="399" t="s">
        <v>1239</v>
      </c>
      <c r="J618" s="399" t="s">
        <v>2400</v>
      </c>
      <c r="K618" s="789">
        <v>44440</v>
      </c>
      <c r="L618" s="399">
        <v>909</v>
      </c>
      <c r="M618" s="399">
        <v>909</v>
      </c>
      <c r="N618" s="399">
        <v>0</v>
      </c>
      <c r="O618" s="399">
        <v>0</v>
      </c>
      <c r="P618" s="399">
        <v>0</v>
      </c>
      <c r="Q618" s="399">
        <v>0</v>
      </c>
      <c r="R618" s="399">
        <v>5.93</v>
      </c>
      <c r="S618" s="399"/>
      <c r="T618" s="399"/>
      <c r="U618" s="399">
        <v>5390.37</v>
      </c>
      <c r="V618" s="399"/>
      <c r="W618" s="399">
        <v>5390.37</v>
      </c>
      <c r="X618" s="399">
        <v>3063.33</v>
      </c>
      <c r="Y618" s="399">
        <v>0</v>
      </c>
      <c r="Z618" s="399">
        <v>0</v>
      </c>
      <c r="AA618" s="399">
        <v>0</v>
      </c>
      <c r="AB618" s="399">
        <v>0</v>
      </c>
      <c r="AC618" s="399">
        <v>0</v>
      </c>
      <c r="AD618" s="399">
        <v>0</v>
      </c>
      <c r="AE618" s="399">
        <v>5383.3860598770952</v>
      </c>
      <c r="AF618" s="399"/>
      <c r="AG618" s="399"/>
      <c r="AH618" s="399"/>
      <c r="AI618" s="399">
        <v>0</v>
      </c>
      <c r="AJ618" s="399">
        <v>0</v>
      </c>
      <c r="AK618" s="399">
        <v>0</v>
      </c>
      <c r="AL618" s="399">
        <v>0</v>
      </c>
      <c r="AM618" s="399"/>
      <c r="AN618" s="399">
        <v>9.3380752975356991</v>
      </c>
      <c r="AO618" s="399">
        <v>0</v>
      </c>
      <c r="AP618" s="399">
        <v>0</v>
      </c>
      <c r="AQ618" s="399">
        <v>0</v>
      </c>
      <c r="AR618" s="399">
        <v>0</v>
      </c>
      <c r="AS618" s="399"/>
      <c r="AT618" s="399"/>
      <c r="AU618" s="399">
        <v>0</v>
      </c>
      <c r="AV618" s="399">
        <v>0</v>
      </c>
      <c r="AW618" s="399">
        <v>0</v>
      </c>
      <c r="AX618" s="399"/>
      <c r="AY618" s="399"/>
      <c r="AZ618" s="399">
        <v>0</v>
      </c>
      <c r="BA618" s="399"/>
      <c r="BB618" s="399">
        <v>0</v>
      </c>
      <c r="BC618" s="399">
        <v>0</v>
      </c>
      <c r="BD618" s="399">
        <v>0</v>
      </c>
      <c r="BE618" s="399">
        <v>0</v>
      </c>
      <c r="BF618" s="399"/>
      <c r="BG618" s="399">
        <v>0</v>
      </c>
      <c r="BH618" s="399">
        <v>0</v>
      </c>
      <c r="BI618" s="399">
        <v>139.80000000000001</v>
      </c>
      <c r="BJ618" s="399">
        <v>0</v>
      </c>
      <c r="BK618" s="399">
        <v>0</v>
      </c>
      <c r="BL618" s="399">
        <v>0</v>
      </c>
      <c r="BM618" s="399"/>
      <c r="BN618" s="399"/>
      <c r="BO618" s="399"/>
      <c r="BP618" s="399"/>
      <c r="BQ618" s="399"/>
      <c r="BR618" s="399"/>
      <c r="BS618" s="399"/>
      <c r="BT618" s="399"/>
      <c r="BU618" s="399"/>
      <c r="BV618" s="399">
        <v>0</v>
      </c>
      <c r="BW618" s="399"/>
      <c r="BX618" s="399"/>
      <c r="BY618" s="399"/>
      <c r="BZ618" s="399"/>
      <c r="CA618" s="399"/>
      <c r="CB618" s="399"/>
      <c r="CC618" s="399"/>
      <c r="CD618" s="399"/>
      <c r="CE618" s="399"/>
      <c r="CF618" s="399"/>
      <c r="CG618" s="399"/>
      <c r="CH618" s="399"/>
      <c r="CI618" s="399">
        <v>3063.33</v>
      </c>
      <c r="CJ618" s="399">
        <v>-2327.0700000000006</v>
      </c>
      <c r="CK618" s="399"/>
      <c r="CL618" s="399"/>
      <c r="CM618" s="399"/>
      <c r="CN618" s="399"/>
      <c r="CO618" s="399">
        <v>-2327.0399999999995</v>
      </c>
      <c r="CP618" s="399">
        <v>0</v>
      </c>
      <c r="CQ618" s="399">
        <v>30</v>
      </c>
      <c r="CR618" s="399">
        <v>-0.37653836901269244</v>
      </c>
      <c r="CS618" s="399">
        <v>0</v>
      </c>
      <c r="CT618" s="399">
        <v>0</v>
      </c>
      <c r="CU618" s="399">
        <v>0</v>
      </c>
      <c r="CV618" s="399">
        <v>0</v>
      </c>
      <c r="CW618" s="399"/>
      <c r="CX618" s="399"/>
      <c r="CY618" s="399"/>
      <c r="CZ618" s="399">
        <v>0</v>
      </c>
      <c r="DA618" s="399">
        <v>0</v>
      </c>
      <c r="DB618" s="399">
        <v>0</v>
      </c>
      <c r="DC618" s="399"/>
      <c r="DD618" s="399"/>
      <c r="DE618" s="399">
        <v>0</v>
      </c>
      <c r="DF618" s="399">
        <v>0</v>
      </c>
      <c r="DG618" s="399">
        <v>0</v>
      </c>
      <c r="DH618" s="399">
        <v>0</v>
      </c>
      <c r="DI618" s="399">
        <v>0</v>
      </c>
      <c r="DJ618" s="399"/>
      <c r="DK618" s="399">
        <v>0</v>
      </c>
      <c r="DL618" s="399">
        <v>0</v>
      </c>
      <c r="DM618" s="399"/>
      <c r="DN618" s="399">
        <v>0</v>
      </c>
      <c r="DO618" s="399">
        <v>0</v>
      </c>
      <c r="DP618" s="399">
        <v>-0.37653836901269244</v>
      </c>
      <c r="DQ618" s="399">
        <v>0</v>
      </c>
      <c r="DR618" s="399">
        <v>0</v>
      </c>
      <c r="DS618" s="399"/>
      <c r="DT618" s="399"/>
      <c r="DU618" s="399">
        <v>5383.3860598770952</v>
      </c>
      <c r="DV618" s="399"/>
      <c r="DW618" s="399">
        <v>0</v>
      </c>
      <c r="DX618" s="399">
        <v>0</v>
      </c>
      <c r="DY618" s="399">
        <v>-2327.04</v>
      </c>
      <c r="DZ618" s="399"/>
      <c r="EA618" s="399">
        <v>0</v>
      </c>
      <c r="EB618" s="399"/>
      <c r="EC618" s="399">
        <v>-2325.727130080204</v>
      </c>
      <c r="ED618" s="399"/>
      <c r="EE618" s="399">
        <v>0</v>
      </c>
      <c r="EF618" s="399">
        <v>0</v>
      </c>
      <c r="EG618" s="399"/>
      <c r="EH618" s="399">
        <v>0</v>
      </c>
      <c r="EI618" s="399">
        <v>0</v>
      </c>
      <c r="EJ618" s="399">
        <v>0</v>
      </c>
      <c r="EK618" s="399">
        <v>0</v>
      </c>
      <c r="EL618" s="399">
        <v>0</v>
      </c>
      <c r="EM618" s="399"/>
      <c r="EN618" s="399"/>
      <c r="EO618" s="399">
        <v>0</v>
      </c>
      <c r="EP618" s="399">
        <v>0</v>
      </c>
      <c r="EQ618" s="399"/>
      <c r="ER618" s="399">
        <v>0</v>
      </c>
      <c r="ES618" s="399"/>
      <c r="ET618" s="399">
        <v>0</v>
      </c>
      <c r="EU618" s="399"/>
      <c r="EV618" s="399">
        <v>218</v>
      </c>
      <c r="EW618" s="399"/>
      <c r="EX618" s="399"/>
      <c r="EY618" s="399"/>
      <c r="EZ618" s="399"/>
      <c r="FA618" s="399">
        <v>0</v>
      </c>
      <c r="FB618" s="399"/>
      <c r="FC618" s="399"/>
      <c r="FD618" s="399"/>
      <c r="FE618" s="399"/>
      <c r="FF618" s="399">
        <v>0</v>
      </c>
      <c r="FG618" s="399">
        <v>0</v>
      </c>
      <c r="FH618" s="399">
        <v>0</v>
      </c>
      <c r="FI618" s="399">
        <v>0</v>
      </c>
    </row>
    <row r="619" spans="1:165">
      <c r="A619" s="399">
        <v>626</v>
      </c>
      <c r="B619" s="399" t="s">
        <v>956</v>
      </c>
      <c r="C619" s="399" t="s">
        <v>913</v>
      </c>
      <c r="D619" s="399" t="s">
        <v>533</v>
      </c>
      <c r="E619" s="399" t="s">
        <v>1239</v>
      </c>
      <c r="F619" s="399" t="s">
        <v>1239</v>
      </c>
      <c r="G619" s="399" t="s">
        <v>1239</v>
      </c>
      <c r="H619" s="399" t="s">
        <v>2399</v>
      </c>
      <c r="I619" s="399" t="s">
        <v>1239</v>
      </c>
      <c r="J619" s="399" t="s">
        <v>2400</v>
      </c>
      <c r="K619" s="789">
        <v>44470</v>
      </c>
      <c r="L619" s="399">
        <v>909</v>
      </c>
      <c r="M619" s="399">
        <v>454.5</v>
      </c>
      <c r="N619" s="399">
        <v>0</v>
      </c>
      <c r="O619" s="399">
        <v>0</v>
      </c>
      <c r="P619" s="399">
        <v>0</v>
      </c>
      <c r="Q619" s="399">
        <v>0</v>
      </c>
      <c r="R619" s="399">
        <v>5.93</v>
      </c>
      <c r="S619" s="399"/>
      <c r="T619" s="399"/>
      <c r="U619" s="399">
        <v>5390.37</v>
      </c>
      <c r="V619" s="399"/>
      <c r="W619" s="399">
        <v>5390.37</v>
      </c>
      <c r="X619" s="399">
        <v>3063.33</v>
      </c>
      <c r="Y619" s="399">
        <v>0</v>
      </c>
      <c r="Z619" s="399">
        <v>0</v>
      </c>
      <c r="AA619" s="399">
        <v>0</v>
      </c>
      <c r="AB619" s="399">
        <v>0</v>
      </c>
      <c r="AC619" s="399">
        <v>0</v>
      </c>
      <c r="AD619" s="399">
        <v>0</v>
      </c>
      <c r="AE619" s="399">
        <v>5383.3860598770952</v>
      </c>
      <c r="AF619" s="399"/>
      <c r="AG619" s="399"/>
      <c r="AH619" s="399"/>
      <c r="AI619" s="399">
        <v>0</v>
      </c>
      <c r="AJ619" s="399">
        <v>0</v>
      </c>
      <c r="AK619" s="399">
        <v>0</v>
      </c>
      <c r="AL619" s="399">
        <v>0</v>
      </c>
      <c r="AM619" s="399"/>
      <c r="AN619" s="399">
        <v>9.3380752975356991</v>
      </c>
      <c r="AO619" s="399">
        <v>0</v>
      </c>
      <c r="AP619" s="399">
        <v>0</v>
      </c>
      <c r="AQ619" s="399">
        <v>0</v>
      </c>
      <c r="AR619" s="399">
        <v>0</v>
      </c>
      <c r="AS619" s="399"/>
      <c r="AT619" s="399"/>
      <c r="AU619" s="399">
        <v>0</v>
      </c>
      <c r="AV619" s="399">
        <v>0</v>
      </c>
      <c r="AW619" s="399">
        <v>0</v>
      </c>
      <c r="AX619" s="399"/>
      <c r="AY619" s="399"/>
      <c r="AZ619" s="399">
        <v>0</v>
      </c>
      <c r="BA619" s="399"/>
      <c r="BB619" s="399">
        <v>0</v>
      </c>
      <c r="BC619" s="399">
        <v>0</v>
      </c>
      <c r="BD619" s="399">
        <v>0</v>
      </c>
      <c r="BE619" s="399">
        <v>0</v>
      </c>
      <c r="BF619" s="399"/>
      <c r="BG619" s="399">
        <v>0</v>
      </c>
      <c r="BH619" s="399">
        <v>0</v>
      </c>
      <c r="BI619" s="399">
        <v>118.68</v>
      </c>
      <c r="BJ619" s="399">
        <v>0</v>
      </c>
      <c r="BK619" s="399">
        <v>0</v>
      </c>
      <c r="BL619" s="399">
        <v>0</v>
      </c>
      <c r="BM619" s="399"/>
      <c r="BN619" s="399"/>
      <c r="BO619" s="399">
        <v>1531.665</v>
      </c>
      <c r="BP619" s="399"/>
      <c r="BQ619" s="399"/>
      <c r="BR619" s="399"/>
      <c r="BS619" s="399"/>
      <c r="BT619" s="399"/>
      <c r="BU619" s="399"/>
      <c r="BV619" s="399">
        <v>0</v>
      </c>
      <c r="BW619" s="399"/>
      <c r="BX619" s="399"/>
      <c r="BY619" s="399"/>
      <c r="BZ619" s="399"/>
      <c r="CA619" s="399"/>
      <c r="CB619" s="399"/>
      <c r="CC619" s="399"/>
      <c r="CD619" s="399"/>
      <c r="CE619" s="399"/>
      <c r="CF619" s="399"/>
      <c r="CG619" s="399"/>
      <c r="CH619" s="399"/>
      <c r="CI619" s="399">
        <v>1531.665</v>
      </c>
      <c r="CJ619" s="399">
        <v>-1163.5500000000006</v>
      </c>
      <c r="CK619" s="399"/>
      <c r="CL619" s="399"/>
      <c r="CM619" s="399"/>
      <c r="CN619" s="399"/>
      <c r="CO619" s="399">
        <v>-2327.0399999999995</v>
      </c>
      <c r="CP619" s="399">
        <v>0</v>
      </c>
      <c r="CQ619" s="399">
        <v>31</v>
      </c>
      <c r="CR619" s="399">
        <v>-0.37653836901269244</v>
      </c>
      <c r="CS619" s="399">
        <v>0</v>
      </c>
      <c r="CT619" s="399">
        <v>0</v>
      </c>
      <c r="CU619" s="399">
        <v>0</v>
      </c>
      <c r="CV619" s="399">
        <v>0</v>
      </c>
      <c r="CW619" s="399"/>
      <c r="CX619" s="399"/>
      <c r="CY619" s="399"/>
      <c r="CZ619" s="399">
        <v>0</v>
      </c>
      <c r="DA619" s="399">
        <v>0</v>
      </c>
      <c r="DB619" s="399">
        <v>0</v>
      </c>
      <c r="DC619" s="399"/>
      <c r="DD619" s="399"/>
      <c r="DE619" s="399">
        <v>0</v>
      </c>
      <c r="DF619" s="399">
        <v>0</v>
      </c>
      <c r="DG619" s="399">
        <v>0</v>
      </c>
      <c r="DH619" s="399">
        <v>0</v>
      </c>
      <c r="DI619" s="399">
        <v>0</v>
      </c>
      <c r="DJ619" s="399"/>
      <c r="DK619" s="399">
        <v>0</v>
      </c>
      <c r="DL619" s="399">
        <v>0</v>
      </c>
      <c r="DM619" s="399"/>
      <c r="DN619" s="399">
        <v>0</v>
      </c>
      <c r="DO619" s="399">
        <v>0</v>
      </c>
      <c r="DP619" s="399">
        <v>-0.37653836901269244</v>
      </c>
      <c r="DQ619" s="399">
        <v>0</v>
      </c>
      <c r="DR619" s="399">
        <v>0</v>
      </c>
      <c r="DS619" s="399"/>
      <c r="DT619" s="399"/>
      <c r="DU619" s="399">
        <v>5383.3860598770952</v>
      </c>
      <c r="DV619" s="399"/>
      <c r="DW619" s="399">
        <v>0</v>
      </c>
      <c r="DX619" s="399">
        <v>0</v>
      </c>
      <c r="DY619" s="399">
        <v>-2327.04</v>
      </c>
      <c r="DZ619" s="399"/>
      <c r="EA619" s="399">
        <v>0</v>
      </c>
      <c r="EB619" s="399"/>
      <c r="EC619" s="399">
        <v>-2325.727130080204</v>
      </c>
      <c r="ED619" s="399"/>
      <c r="EE619" s="399">
        <v>0</v>
      </c>
      <c r="EF619" s="399">
        <v>0</v>
      </c>
      <c r="EG619" s="399"/>
      <c r="EH619" s="399">
        <v>0</v>
      </c>
      <c r="EI619" s="399">
        <v>0</v>
      </c>
      <c r="EJ619" s="399">
        <v>0</v>
      </c>
      <c r="EK619" s="399">
        <v>0</v>
      </c>
      <c r="EL619" s="399">
        <v>0</v>
      </c>
      <c r="EM619" s="399"/>
      <c r="EN619" s="399"/>
      <c r="EO619" s="399">
        <v>0</v>
      </c>
      <c r="EP619" s="399">
        <v>0</v>
      </c>
      <c r="EQ619" s="399"/>
      <c r="ER619" s="399">
        <v>0</v>
      </c>
      <c r="ES619" s="399"/>
      <c r="ET619" s="399">
        <v>0</v>
      </c>
      <c r="EU619" s="399"/>
      <c r="EV619" s="399">
        <v>218</v>
      </c>
      <c r="EW619" s="399"/>
      <c r="EX619" s="399"/>
      <c r="EY619" s="399"/>
      <c r="EZ619" s="399"/>
      <c r="FA619" s="399">
        <v>0</v>
      </c>
      <c r="FB619" s="399"/>
      <c r="FC619" s="399"/>
      <c r="FD619" s="399"/>
      <c r="FE619" s="399"/>
      <c r="FF619" s="399">
        <v>0</v>
      </c>
      <c r="FG619" s="399">
        <v>0</v>
      </c>
      <c r="FH619" s="399">
        <v>0</v>
      </c>
      <c r="FI619" s="399">
        <v>0</v>
      </c>
    </row>
    <row r="620" spans="1:165">
      <c r="A620" s="399">
        <v>627</v>
      </c>
      <c r="B620" s="399" t="s">
        <v>956</v>
      </c>
      <c r="C620" s="399" t="s">
        <v>913</v>
      </c>
      <c r="D620" s="399" t="s">
        <v>533</v>
      </c>
      <c r="E620" s="399" t="s">
        <v>1239</v>
      </c>
      <c r="F620" s="399" t="s">
        <v>1239</v>
      </c>
      <c r="G620" s="399" t="s">
        <v>1239</v>
      </c>
      <c r="H620" s="399" t="s">
        <v>2399</v>
      </c>
      <c r="I620" s="399" t="s">
        <v>1239</v>
      </c>
      <c r="J620" s="399" t="s">
        <v>2400</v>
      </c>
      <c r="K620" s="789">
        <v>44501</v>
      </c>
      <c r="L620" s="399">
        <v>909</v>
      </c>
      <c r="M620" s="399">
        <v>454.5</v>
      </c>
      <c r="N620" s="399">
        <v>0</v>
      </c>
      <c r="O620" s="399">
        <v>0</v>
      </c>
      <c r="P620" s="399">
        <v>0</v>
      </c>
      <c r="Q620" s="399">
        <v>0</v>
      </c>
      <c r="R620" s="399">
        <v>5.93</v>
      </c>
      <c r="S620" s="399"/>
      <c r="T620" s="399"/>
      <c r="U620" s="399">
        <v>5390.37</v>
      </c>
      <c r="V620" s="399"/>
      <c r="W620" s="399">
        <v>5390.37</v>
      </c>
      <c r="X620" s="399">
        <v>3063.33</v>
      </c>
      <c r="Y620" s="399">
        <v>0</v>
      </c>
      <c r="Z620" s="399">
        <v>0</v>
      </c>
      <c r="AA620" s="399">
        <v>0</v>
      </c>
      <c r="AB620" s="399">
        <v>0</v>
      </c>
      <c r="AC620" s="399">
        <v>0</v>
      </c>
      <c r="AD620" s="399">
        <v>0</v>
      </c>
      <c r="AE620" s="399">
        <v>5383.3860598770952</v>
      </c>
      <c r="AF620" s="399"/>
      <c r="AG620" s="399"/>
      <c r="AH620" s="399"/>
      <c r="AI620" s="399">
        <v>0</v>
      </c>
      <c r="AJ620" s="399">
        <v>0</v>
      </c>
      <c r="AK620" s="399">
        <v>0</v>
      </c>
      <c r="AL620" s="399">
        <v>0</v>
      </c>
      <c r="AM620" s="399"/>
      <c r="AN620" s="399">
        <v>9.3380752975356991</v>
      </c>
      <c r="AO620" s="399">
        <v>0</v>
      </c>
      <c r="AP620" s="399">
        <v>0</v>
      </c>
      <c r="AQ620" s="399">
        <v>0</v>
      </c>
      <c r="AR620" s="399">
        <v>0</v>
      </c>
      <c r="AS620" s="399"/>
      <c r="AT620" s="399"/>
      <c r="AU620" s="399">
        <v>0</v>
      </c>
      <c r="AV620" s="399">
        <v>0</v>
      </c>
      <c r="AW620" s="399">
        <v>0</v>
      </c>
      <c r="AX620" s="399"/>
      <c r="AY620" s="399"/>
      <c r="AZ620" s="399">
        <v>0</v>
      </c>
      <c r="BA620" s="399"/>
      <c r="BB620" s="399">
        <v>0</v>
      </c>
      <c r="BC620" s="399">
        <v>0</v>
      </c>
      <c r="BD620" s="399">
        <v>0</v>
      </c>
      <c r="BE620" s="399">
        <v>0</v>
      </c>
      <c r="BF620" s="399"/>
      <c r="BG620" s="399">
        <v>0</v>
      </c>
      <c r="BH620" s="399">
        <v>0</v>
      </c>
      <c r="BI620" s="399">
        <v>116.04</v>
      </c>
      <c r="BJ620" s="399">
        <v>0</v>
      </c>
      <c r="BK620" s="399">
        <v>0</v>
      </c>
      <c r="BL620" s="399">
        <v>0</v>
      </c>
      <c r="BM620" s="399"/>
      <c r="BN620" s="399"/>
      <c r="BO620" s="399">
        <v>1531.665</v>
      </c>
      <c r="BP620" s="399"/>
      <c r="BQ620" s="399"/>
      <c r="BR620" s="399"/>
      <c r="BS620" s="399"/>
      <c r="BT620" s="399"/>
      <c r="BU620" s="399"/>
      <c r="BV620" s="399">
        <v>0</v>
      </c>
      <c r="BW620" s="399"/>
      <c r="BX620" s="399"/>
      <c r="BY620" s="399"/>
      <c r="BZ620" s="399"/>
      <c r="CA620" s="399"/>
      <c r="CB620" s="399"/>
      <c r="CC620" s="399"/>
      <c r="CD620" s="399"/>
      <c r="CE620" s="399"/>
      <c r="CF620" s="399"/>
      <c r="CG620" s="399"/>
      <c r="CH620" s="399"/>
      <c r="CI620" s="399">
        <v>1531.665</v>
      </c>
      <c r="CJ620" s="399">
        <v>-1163.5500000000006</v>
      </c>
      <c r="CK620" s="399"/>
      <c r="CL620" s="399"/>
      <c r="CM620" s="399"/>
      <c r="CN620" s="399"/>
      <c r="CO620" s="399">
        <v>-2327.0399999999995</v>
      </c>
      <c r="CP620" s="399">
        <v>0</v>
      </c>
      <c r="CQ620" s="399">
        <v>30</v>
      </c>
      <c r="CR620" s="399">
        <v>-0.37653836901269244</v>
      </c>
      <c r="CS620" s="399">
        <v>0</v>
      </c>
      <c r="CT620" s="399">
        <v>0</v>
      </c>
      <c r="CU620" s="399">
        <v>0</v>
      </c>
      <c r="CV620" s="399">
        <v>0</v>
      </c>
      <c r="CW620" s="399"/>
      <c r="CX620" s="399"/>
      <c r="CY620" s="399"/>
      <c r="CZ620" s="399">
        <v>0</v>
      </c>
      <c r="DA620" s="399">
        <v>0</v>
      </c>
      <c r="DB620" s="399">
        <v>0</v>
      </c>
      <c r="DC620" s="399"/>
      <c r="DD620" s="399"/>
      <c r="DE620" s="399">
        <v>0</v>
      </c>
      <c r="DF620" s="399">
        <v>0</v>
      </c>
      <c r="DG620" s="399">
        <v>0</v>
      </c>
      <c r="DH620" s="399">
        <v>0</v>
      </c>
      <c r="DI620" s="399">
        <v>0</v>
      </c>
      <c r="DJ620" s="399"/>
      <c r="DK620" s="399">
        <v>0</v>
      </c>
      <c r="DL620" s="399">
        <v>0</v>
      </c>
      <c r="DM620" s="399"/>
      <c r="DN620" s="399">
        <v>0</v>
      </c>
      <c r="DO620" s="399">
        <v>0</v>
      </c>
      <c r="DP620" s="399">
        <v>-0.37653836901269244</v>
      </c>
      <c r="DQ620" s="399">
        <v>0</v>
      </c>
      <c r="DR620" s="399">
        <v>0</v>
      </c>
      <c r="DS620" s="399"/>
      <c r="DT620" s="399"/>
      <c r="DU620" s="399">
        <v>5383.3860598770952</v>
      </c>
      <c r="DV620" s="399"/>
      <c r="DW620" s="399">
        <v>0</v>
      </c>
      <c r="DX620" s="399">
        <v>0</v>
      </c>
      <c r="DY620" s="399">
        <v>-2327.04</v>
      </c>
      <c r="DZ620" s="399"/>
      <c r="EA620" s="399">
        <v>0</v>
      </c>
      <c r="EB620" s="399"/>
      <c r="EC620" s="399">
        <v>-2325.727130080204</v>
      </c>
      <c r="ED620" s="399"/>
      <c r="EE620" s="399">
        <v>0</v>
      </c>
      <c r="EF620" s="399">
        <v>0</v>
      </c>
      <c r="EG620" s="399"/>
      <c r="EH620" s="399">
        <v>0</v>
      </c>
      <c r="EI620" s="399">
        <v>0</v>
      </c>
      <c r="EJ620" s="399">
        <v>0</v>
      </c>
      <c r="EK620" s="399">
        <v>0</v>
      </c>
      <c r="EL620" s="399">
        <v>0</v>
      </c>
      <c r="EM620" s="399"/>
      <c r="EN620" s="399"/>
      <c r="EO620" s="399">
        <v>0</v>
      </c>
      <c r="EP620" s="399">
        <v>0</v>
      </c>
      <c r="EQ620" s="399"/>
      <c r="ER620" s="399">
        <v>0</v>
      </c>
      <c r="ES620" s="399"/>
      <c r="ET620" s="399">
        <v>0</v>
      </c>
      <c r="EU620" s="399"/>
      <c r="EV620" s="399">
        <v>218</v>
      </c>
      <c r="EW620" s="399"/>
      <c r="EX620" s="399"/>
      <c r="EY620" s="399"/>
      <c r="EZ620" s="399"/>
      <c r="FA620" s="399">
        <v>0</v>
      </c>
      <c r="FB620" s="399"/>
      <c r="FC620" s="399"/>
      <c r="FD620" s="399"/>
      <c r="FE620" s="399"/>
      <c r="FF620" s="399">
        <v>0</v>
      </c>
      <c r="FG620" s="399">
        <v>0</v>
      </c>
      <c r="FH620" s="399">
        <v>0</v>
      </c>
      <c r="FI620" s="399">
        <v>0</v>
      </c>
    </row>
    <row r="621" spans="1:165">
      <c r="A621" s="399">
        <v>628</v>
      </c>
      <c r="B621" s="399" t="s">
        <v>956</v>
      </c>
      <c r="C621" s="399" t="s">
        <v>913</v>
      </c>
      <c r="D621" s="399" t="s">
        <v>533</v>
      </c>
      <c r="E621" s="399" t="s">
        <v>1239</v>
      </c>
      <c r="F621" s="399" t="s">
        <v>1239</v>
      </c>
      <c r="G621" s="399" t="s">
        <v>1239</v>
      </c>
      <c r="H621" s="399" t="s">
        <v>2399</v>
      </c>
      <c r="I621" s="399" t="s">
        <v>1239</v>
      </c>
      <c r="J621" s="399" t="s">
        <v>2400</v>
      </c>
      <c r="K621" s="789">
        <v>44531</v>
      </c>
      <c r="L621" s="399">
        <v>909</v>
      </c>
      <c r="M621" s="399">
        <v>454.5</v>
      </c>
      <c r="N621" s="399">
        <v>0</v>
      </c>
      <c r="O621" s="399">
        <v>0</v>
      </c>
      <c r="P621" s="399">
        <v>0</v>
      </c>
      <c r="Q621" s="399">
        <v>0</v>
      </c>
      <c r="R621" s="399">
        <v>5.93</v>
      </c>
      <c r="S621" s="399"/>
      <c r="T621" s="399"/>
      <c r="U621" s="399">
        <v>5390.37</v>
      </c>
      <c r="V621" s="399"/>
      <c r="W621" s="399">
        <v>5390.37</v>
      </c>
      <c r="X621" s="399">
        <v>3063.33</v>
      </c>
      <c r="Y621" s="399">
        <v>0</v>
      </c>
      <c r="Z621" s="399">
        <v>0</v>
      </c>
      <c r="AA621" s="399">
        <v>0</v>
      </c>
      <c r="AB621" s="399">
        <v>0</v>
      </c>
      <c r="AC621" s="399">
        <v>0</v>
      </c>
      <c r="AD621" s="399">
        <v>0</v>
      </c>
      <c r="AE621" s="399">
        <v>5383.3860598770952</v>
      </c>
      <c r="AF621" s="399"/>
      <c r="AG621" s="399"/>
      <c r="AH621" s="399"/>
      <c r="AI621" s="399">
        <v>0</v>
      </c>
      <c r="AJ621" s="399">
        <v>0</v>
      </c>
      <c r="AK621" s="399">
        <v>0</v>
      </c>
      <c r="AL621" s="399">
        <v>0</v>
      </c>
      <c r="AM621" s="399"/>
      <c r="AN621" s="399">
        <v>9.3380752975356991</v>
      </c>
      <c r="AO621" s="399">
        <v>0</v>
      </c>
      <c r="AP621" s="399">
        <v>0</v>
      </c>
      <c r="AQ621" s="399">
        <v>0</v>
      </c>
      <c r="AR621" s="399">
        <v>0</v>
      </c>
      <c r="AS621" s="399"/>
      <c r="AT621" s="399"/>
      <c r="AU621" s="399">
        <v>0</v>
      </c>
      <c r="AV621" s="399">
        <v>0</v>
      </c>
      <c r="AW621" s="399">
        <v>0</v>
      </c>
      <c r="AX621" s="399"/>
      <c r="AY621" s="399"/>
      <c r="AZ621" s="399">
        <v>0</v>
      </c>
      <c r="BA621" s="399"/>
      <c r="BB621" s="399">
        <v>0</v>
      </c>
      <c r="BC621" s="399">
        <v>0</v>
      </c>
      <c r="BD621" s="399">
        <v>0</v>
      </c>
      <c r="BE621" s="399">
        <v>0</v>
      </c>
      <c r="BF621" s="399"/>
      <c r="BG621" s="399">
        <v>0</v>
      </c>
      <c r="BH621" s="399">
        <v>0</v>
      </c>
      <c r="BI621" s="399">
        <v>116.04</v>
      </c>
      <c r="BJ621" s="399">
        <v>0</v>
      </c>
      <c r="BK621" s="399">
        <v>0</v>
      </c>
      <c r="BL621" s="399">
        <v>0</v>
      </c>
      <c r="BM621" s="399"/>
      <c r="BN621" s="399"/>
      <c r="BO621" s="399">
        <v>1531.665</v>
      </c>
      <c r="BP621" s="399"/>
      <c r="BQ621" s="399"/>
      <c r="BR621" s="399"/>
      <c r="BS621" s="399"/>
      <c r="BT621" s="399"/>
      <c r="BU621" s="399"/>
      <c r="BV621" s="399">
        <v>0</v>
      </c>
      <c r="BW621" s="399"/>
      <c r="BX621" s="399"/>
      <c r="BY621" s="399"/>
      <c r="BZ621" s="399"/>
      <c r="CA621" s="399"/>
      <c r="CB621" s="399"/>
      <c r="CC621" s="399"/>
      <c r="CD621" s="399"/>
      <c r="CE621" s="399"/>
      <c r="CF621" s="399"/>
      <c r="CG621" s="399"/>
      <c r="CH621" s="399"/>
      <c r="CI621" s="399">
        <v>1531.665</v>
      </c>
      <c r="CJ621" s="399">
        <v>-1163.5500000000006</v>
      </c>
      <c r="CK621" s="399"/>
      <c r="CL621" s="399"/>
      <c r="CM621" s="399"/>
      <c r="CN621" s="399"/>
      <c r="CO621" s="399">
        <v>-2327.0399999999995</v>
      </c>
      <c r="CP621" s="399">
        <v>0</v>
      </c>
      <c r="CQ621" s="399"/>
      <c r="CR621" s="399">
        <v>-0.37653836901269244</v>
      </c>
      <c r="CS621" s="399">
        <v>0</v>
      </c>
      <c r="CT621" s="399">
        <v>0</v>
      </c>
      <c r="CU621" s="399">
        <v>0</v>
      </c>
      <c r="CV621" s="399">
        <v>0</v>
      </c>
      <c r="CW621" s="399"/>
      <c r="CX621" s="399"/>
      <c r="CY621" s="399"/>
      <c r="CZ621" s="399">
        <v>0</v>
      </c>
      <c r="DA621" s="399">
        <v>0</v>
      </c>
      <c r="DB621" s="399">
        <v>0</v>
      </c>
      <c r="DC621" s="399"/>
      <c r="DD621" s="399"/>
      <c r="DE621" s="399">
        <v>0</v>
      </c>
      <c r="DF621" s="399">
        <v>0</v>
      </c>
      <c r="DG621" s="399">
        <v>0</v>
      </c>
      <c r="DH621" s="399">
        <v>0</v>
      </c>
      <c r="DI621" s="399">
        <v>0</v>
      </c>
      <c r="DJ621" s="399"/>
      <c r="DK621" s="399">
        <v>0</v>
      </c>
      <c r="DL621" s="399">
        <v>0</v>
      </c>
      <c r="DM621" s="399"/>
      <c r="DN621" s="399">
        <v>0</v>
      </c>
      <c r="DO621" s="399">
        <v>0</v>
      </c>
      <c r="DP621" s="399">
        <v>-0.37653836901269244</v>
      </c>
      <c r="DQ621" s="399">
        <v>0</v>
      </c>
      <c r="DR621" s="399">
        <v>0</v>
      </c>
      <c r="DS621" s="399"/>
      <c r="DT621" s="399"/>
      <c r="DU621" s="399">
        <v>5383.3860598770952</v>
      </c>
      <c r="DV621" s="399"/>
      <c r="DW621" s="399">
        <v>0</v>
      </c>
      <c r="DX621" s="399">
        <v>0</v>
      </c>
      <c r="DY621" s="399">
        <v>-2327.04</v>
      </c>
      <c r="DZ621" s="399"/>
      <c r="EA621" s="399">
        <v>0</v>
      </c>
      <c r="EB621" s="399"/>
      <c r="EC621" s="399">
        <v>-2325.727130080204</v>
      </c>
      <c r="ED621" s="399"/>
      <c r="EE621" s="399">
        <v>0</v>
      </c>
      <c r="EF621" s="399">
        <v>0</v>
      </c>
      <c r="EG621" s="399"/>
      <c r="EH621" s="399">
        <v>0</v>
      </c>
      <c r="EI621" s="399">
        <v>0</v>
      </c>
      <c r="EJ621" s="399">
        <v>0</v>
      </c>
      <c r="EK621" s="399">
        <v>0</v>
      </c>
      <c r="EL621" s="399">
        <v>0</v>
      </c>
      <c r="EM621" s="399"/>
      <c r="EN621" s="399"/>
      <c r="EO621" s="399">
        <v>0</v>
      </c>
      <c r="EP621" s="399">
        <v>0</v>
      </c>
      <c r="EQ621" s="399"/>
      <c r="ER621" s="399">
        <v>0</v>
      </c>
      <c r="ES621" s="399"/>
      <c r="ET621" s="399">
        <v>0</v>
      </c>
      <c r="EU621" s="399"/>
      <c r="EV621" s="399">
        <v>218</v>
      </c>
      <c r="EW621" s="399"/>
      <c r="EX621" s="399"/>
      <c r="EY621" s="399"/>
      <c r="EZ621" s="399"/>
      <c r="FA621" s="399">
        <v>0</v>
      </c>
      <c r="FB621" s="399"/>
      <c r="FC621" s="399"/>
      <c r="FD621" s="399"/>
      <c r="FE621" s="399"/>
      <c r="FF621" s="399">
        <v>0</v>
      </c>
      <c r="FG621" s="399">
        <v>0</v>
      </c>
      <c r="FH621" s="399">
        <v>0</v>
      </c>
      <c r="FI621" s="399">
        <v>0</v>
      </c>
    </row>
    <row r="622" spans="1:165">
      <c r="A622" s="399">
        <v>629</v>
      </c>
      <c r="B622" s="399" t="s">
        <v>956</v>
      </c>
      <c r="C622" s="399" t="s">
        <v>913</v>
      </c>
      <c r="D622" s="399" t="s">
        <v>533</v>
      </c>
      <c r="E622" s="399" t="s">
        <v>1239</v>
      </c>
      <c r="F622" s="399" t="s">
        <v>1239</v>
      </c>
      <c r="G622" s="399" t="s">
        <v>1239</v>
      </c>
      <c r="H622" s="399" t="s">
        <v>2399</v>
      </c>
      <c r="I622" s="399" t="s">
        <v>1239</v>
      </c>
      <c r="J622" s="399" t="s">
        <v>2400</v>
      </c>
      <c r="K622" s="789">
        <v>44562</v>
      </c>
      <c r="L622" s="399">
        <v>909</v>
      </c>
      <c r="M622" s="399">
        <v>454.5</v>
      </c>
      <c r="N622" s="399">
        <v>0</v>
      </c>
      <c r="O622" s="399">
        <v>0</v>
      </c>
      <c r="P622" s="399">
        <v>0</v>
      </c>
      <c r="Q622" s="399">
        <v>0</v>
      </c>
      <c r="R622" s="399">
        <v>5.93</v>
      </c>
      <c r="S622" s="399"/>
      <c r="T622" s="399"/>
      <c r="U622" s="399">
        <v>5390.37</v>
      </c>
      <c r="V622" s="399"/>
      <c r="W622" s="399">
        <v>5390.37</v>
      </c>
      <c r="X622" s="399">
        <v>3063.33</v>
      </c>
      <c r="Y622" s="399">
        <v>0</v>
      </c>
      <c r="Z622" s="399">
        <v>0</v>
      </c>
      <c r="AA622" s="399">
        <v>0</v>
      </c>
      <c r="AB622" s="399">
        <v>0</v>
      </c>
      <c r="AC622" s="399">
        <v>0</v>
      </c>
      <c r="AD622" s="399">
        <v>0</v>
      </c>
      <c r="AE622" s="399">
        <v>5383.3860598770952</v>
      </c>
      <c r="AF622" s="399"/>
      <c r="AG622" s="399"/>
      <c r="AH622" s="399"/>
      <c r="AI622" s="399">
        <v>0</v>
      </c>
      <c r="AJ622" s="399">
        <v>0</v>
      </c>
      <c r="AK622" s="399">
        <v>0</v>
      </c>
      <c r="AL622" s="399">
        <v>0</v>
      </c>
      <c r="AM622" s="399"/>
      <c r="AN622" s="399">
        <v>9.3380752975356991</v>
      </c>
      <c r="AO622" s="399">
        <v>0</v>
      </c>
      <c r="AP622" s="399">
        <v>0</v>
      </c>
      <c r="AQ622" s="399">
        <v>0</v>
      </c>
      <c r="AR622" s="399">
        <v>0</v>
      </c>
      <c r="AS622" s="399"/>
      <c r="AT622" s="399"/>
      <c r="AU622" s="399">
        <v>0</v>
      </c>
      <c r="AV622" s="399">
        <v>0</v>
      </c>
      <c r="AW622" s="399">
        <v>0</v>
      </c>
      <c r="AX622" s="399"/>
      <c r="AY622" s="399"/>
      <c r="AZ622" s="399">
        <v>0</v>
      </c>
      <c r="BA622" s="399"/>
      <c r="BB622" s="399">
        <v>0</v>
      </c>
      <c r="BC622" s="399">
        <v>0</v>
      </c>
      <c r="BD622" s="399">
        <v>0</v>
      </c>
      <c r="BE622" s="399">
        <v>0</v>
      </c>
      <c r="BF622" s="399"/>
      <c r="BG622" s="399">
        <v>0</v>
      </c>
      <c r="BH622" s="399">
        <v>0</v>
      </c>
      <c r="BI622" s="399">
        <v>116.04</v>
      </c>
      <c r="BJ622" s="399">
        <v>0</v>
      </c>
      <c r="BK622" s="399">
        <v>0</v>
      </c>
      <c r="BL622" s="399">
        <v>0</v>
      </c>
      <c r="BM622" s="399"/>
      <c r="BN622" s="399"/>
      <c r="BO622" s="399">
        <v>1531.665</v>
      </c>
      <c r="BP622" s="399"/>
      <c r="BQ622" s="399"/>
      <c r="BR622" s="399"/>
      <c r="BS622" s="399"/>
      <c r="BT622" s="399"/>
      <c r="BU622" s="399"/>
      <c r="BV622" s="399">
        <v>0</v>
      </c>
      <c r="BW622" s="399"/>
      <c r="BX622" s="399"/>
      <c r="BY622" s="399"/>
      <c r="BZ622" s="399"/>
      <c r="CA622" s="399"/>
      <c r="CB622" s="399"/>
      <c r="CC622" s="399"/>
      <c r="CD622" s="399"/>
      <c r="CE622" s="399"/>
      <c r="CF622" s="399"/>
      <c r="CG622" s="399"/>
      <c r="CH622" s="399"/>
      <c r="CI622" s="399">
        <v>1531.665</v>
      </c>
      <c r="CJ622" s="399">
        <v>-1163.5500000000006</v>
      </c>
      <c r="CK622" s="399"/>
      <c r="CL622" s="399"/>
      <c r="CM622" s="399"/>
      <c r="CN622" s="399"/>
      <c r="CO622" s="399">
        <v>-2327.0399999999995</v>
      </c>
      <c r="CP622" s="399">
        <v>0</v>
      </c>
      <c r="CQ622" s="399">
        <v>31</v>
      </c>
      <c r="CR622" s="399">
        <v>-0.37653836901269244</v>
      </c>
      <c r="CS622" s="399">
        <v>0</v>
      </c>
      <c r="CT622" s="399">
        <v>0</v>
      </c>
      <c r="CU622" s="399">
        <v>0</v>
      </c>
      <c r="CV622" s="399">
        <v>0</v>
      </c>
      <c r="CW622" s="399"/>
      <c r="CX622" s="399"/>
      <c r="CY622" s="399"/>
      <c r="CZ622" s="399">
        <v>0</v>
      </c>
      <c r="DA622" s="399">
        <v>0</v>
      </c>
      <c r="DB622" s="399">
        <v>0</v>
      </c>
      <c r="DC622" s="399"/>
      <c r="DD622" s="399"/>
      <c r="DE622" s="399">
        <v>0</v>
      </c>
      <c r="DF622" s="399">
        <v>0</v>
      </c>
      <c r="DG622" s="399">
        <v>0</v>
      </c>
      <c r="DH622" s="399">
        <v>0</v>
      </c>
      <c r="DI622" s="399">
        <v>0</v>
      </c>
      <c r="DJ622" s="399"/>
      <c r="DK622" s="399">
        <v>0</v>
      </c>
      <c r="DL622" s="399">
        <v>0</v>
      </c>
      <c r="DM622" s="399"/>
      <c r="DN622" s="399">
        <v>0</v>
      </c>
      <c r="DO622" s="399">
        <v>0</v>
      </c>
      <c r="DP622" s="399">
        <v>-0.37653836901269244</v>
      </c>
      <c r="DQ622" s="399">
        <v>0</v>
      </c>
      <c r="DR622" s="399">
        <v>0</v>
      </c>
      <c r="DS622" s="399"/>
      <c r="DT622" s="399"/>
      <c r="DU622" s="399">
        <v>5383.3860598770952</v>
      </c>
      <c r="DV622" s="399"/>
      <c r="DW622" s="399">
        <v>0</v>
      </c>
      <c r="DX622" s="399">
        <v>0</v>
      </c>
      <c r="DY622" s="399">
        <v>-2327.04</v>
      </c>
      <c r="DZ622" s="399"/>
      <c r="EA622" s="399">
        <v>0</v>
      </c>
      <c r="EB622" s="399"/>
      <c r="EC622" s="399">
        <v>-2325.727130080204</v>
      </c>
      <c r="ED622" s="399"/>
      <c r="EE622" s="399">
        <v>0</v>
      </c>
      <c r="EF622" s="399">
        <v>0</v>
      </c>
      <c r="EG622" s="399"/>
      <c r="EH622" s="399">
        <v>0</v>
      </c>
      <c r="EI622" s="399">
        <v>0</v>
      </c>
      <c r="EJ622" s="399">
        <v>0</v>
      </c>
      <c r="EK622" s="399">
        <v>0</v>
      </c>
      <c r="EL622" s="399">
        <v>0</v>
      </c>
      <c r="EM622" s="399"/>
      <c r="EN622" s="399"/>
      <c r="EO622" s="399">
        <v>0</v>
      </c>
      <c r="EP622" s="399">
        <v>0</v>
      </c>
      <c r="EQ622" s="399"/>
      <c r="ER622" s="399">
        <v>0</v>
      </c>
      <c r="ES622" s="399"/>
      <c r="ET622" s="399">
        <v>0</v>
      </c>
      <c r="EU622" s="399"/>
      <c r="EV622" s="399">
        <v>218</v>
      </c>
      <c r="EW622" s="399"/>
      <c r="EX622" s="399"/>
      <c r="EY622" s="399"/>
      <c r="EZ622" s="399"/>
      <c r="FA622" s="399">
        <v>0</v>
      </c>
      <c r="FB622" s="399"/>
      <c r="FC622" s="399"/>
      <c r="FD622" s="399"/>
      <c r="FE622" s="399"/>
      <c r="FF622" s="399">
        <v>0</v>
      </c>
      <c r="FG622" s="399">
        <v>0</v>
      </c>
      <c r="FH622" s="399">
        <v>0</v>
      </c>
      <c r="FI622" s="399">
        <v>0</v>
      </c>
    </row>
    <row r="623" spans="1:165">
      <c r="A623" s="399">
        <v>630</v>
      </c>
      <c r="B623" s="399" t="s">
        <v>956</v>
      </c>
      <c r="C623" s="399" t="s">
        <v>913</v>
      </c>
      <c r="D623" s="399" t="s">
        <v>533</v>
      </c>
      <c r="E623" s="399" t="s">
        <v>1239</v>
      </c>
      <c r="F623" s="399" t="s">
        <v>1239</v>
      </c>
      <c r="G623" s="399" t="s">
        <v>1239</v>
      </c>
      <c r="H623" s="399" t="s">
        <v>2399</v>
      </c>
      <c r="I623" s="399" t="s">
        <v>1239</v>
      </c>
      <c r="J623" s="399" t="s">
        <v>2400</v>
      </c>
      <c r="K623" s="789">
        <v>44593</v>
      </c>
      <c r="L623" s="399">
        <v>909</v>
      </c>
      <c r="M623" s="399">
        <v>454.5</v>
      </c>
      <c r="N623" s="399">
        <v>0</v>
      </c>
      <c r="O623" s="399">
        <v>0</v>
      </c>
      <c r="P623" s="399">
        <v>0</v>
      </c>
      <c r="Q623" s="399">
        <v>0</v>
      </c>
      <c r="R623" s="399">
        <v>5.93</v>
      </c>
      <c r="S623" s="399"/>
      <c r="T623" s="399"/>
      <c r="U623" s="399">
        <v>5390.37</v>
      </c>
      <c r="V623" s="399"/>
      <c r="W623" s="399">
        <v>5390.37</v>
      </c>
      <c r="X623" s="399">
        <v>3063.33</v>
      </c>
      <c r="Y623" s="399">
        <v>0</v>
      </c>
      <c r="Z623" s="399">
        <v>0</v>
      </c>
      <c r="AA623" s="399">
        <v>0</v>
      </c>
      <c r="AB623" s="399">
        <v>0</v>
      </c>
      <c r="AC623" s="399">
        <v>0</v>
      </c>
      <c r="AD623" s="399">
        <v>0</v>
      </c>
      <c r="AE623" s="399">
        <v>5383.3860598770952</v>
      </c>
      <c r="AF623" s="399"/>
      <c r="AG623" s="399"/>
      <c r="AH623" s="399"/>
      <c r="AI623" s="399">
        <v>0</v>
      </c>
      <c r="AJ623" s="399">
        <v>0</v>
      </c>
      <c r="AK623" s="399">
        <v>0</v>
      </c>
      <c r="AL623" s="399">
        <v>0</v>
      </c>
      <c r="AM623" s="399"/>
      <c r="AN623" s="399">
        <v>9.3380752975356991</v>
      </c>
      <c r="AO623" s="399">
        <v>0</v>
      </c>
      <c r="AP623" s="399">
        <v>0</v>
      </c>
      <c r="AQ623" s="399">
        <v>0</v>
      </c>
      <c r="AR623" s="399">
        <v>0</v>
      </c>
      <c r="AS623" s="399"/>
      <c r="AT623" s="399"/>
      <c r="AU623" s="399">
        <v>0</v>
      </c>
      <c r="AV623" s="399">
        <v>0</v>
      </c>
      <c r="AW623" s="399">
        <v>0</v>
      </c>
      <c r="AX623" s="399"/>
      <c r="AY623" s="399"/>
      <c r="AZ623" s="399">
        <v>0</v>
      </c>
      <c r="BA623" s="399"/>
      <c r="BB623" s="399">
        <v>0</v>
      </c>
      <c r="BC623" s="399">
        <v>0</v>
      </c>
      <c r="BD623" s="399">
        <v>0</v>
      </c>
      <c r="BE623" s="399">
        <v>0</v>
      </c>
      <c r="BF623" s="399"/>
      <c r="BG623" s="399">
        <v>0</v>
      </c>
      <c r="BH623" s="399">
        <v>0</v>
      </c>
      <c r="BI623" s="399">
        <v>116.04</v>
      </c>
      <c r="BJ623" s="399">
        <v>0</v>
      </c>
      <c r="BK623" s="399">
        <v>0</v>
      </c>
      <c r="BL623" s="399">
        <v>0</v>
      </c>
      <c r="BM623" s="399"/>
      <c r="BN623" s="399"/>
      <c r="BO623" s="399">
        <v>1531.665</v>
      </c>
      <c r="BP623" s="399"/>
      <c r="BQ623" s="399"/>
      <c r="BR623" s="399"/>
      <c r="BS623" s="399"/>
      <c r="BT623" s="399"/>
      <c r="BU623" s="399"/>
      <c r="BV623" s="399">
        <v>0</v>
      </c>
      <c r="BW623" s="399"/>
      <c r="BX623" s="399"/>
      <c r="BY623" s="399"/>
      <c r="BZ623" s="399"/>
      <c r="CA623" s="399"/>
      <c r="CB623" s="399"/>
      <c r="CC623" s="399"/>
      <c r="CD623" s="399"/>
      <c r="CE623" s="399"/>
      <c r="CF623" s="399"/>
      <c r="CG623" s="399"/>
      <c r="CH623" s="399"/>
      <c r="CI623" s="399">
        <v>1531.665</v>
      </c>
      <c r="CJ623" s="399">
        <v>-1163.5500000000006</v>
      </c>
      <c r="CK623" s="399"/>
      <c r="CL623" s="399"/>
      <c r="CM623" s="399"/>
      <c r="CN623" s="399"/>
      <c r="CO623" s="399">
        <v>-2327.0399999999995</v>
      </c>
      <c r="CP623" s="399">
        <v>0</v>
      </c>
      <c r="CQ623" s="399">
        <v>29</v>
      </c>
      <c r="CR623" s="399">
        <v>-0.37653836901269244</v>
      </c>
      <c r="CS623" s="399">
        <v>0</v>
      </c>
      <c r="CT623" s="399">
        <v>0</v>
      </c>
      <c r="CU623" s="399">
        <v>0</v>
      </c>
      <c r="CV623" s="399">
        <v>0</v>
      </c>
      <c r="CW623" s="399"/>
      <c r="CX623" s="399"/>
      <c r="CY623" s="399"/>
      <c r="CZ623" s="399">
        <v>0</v>
      </c>
      <c r="DA623" s="399">
        <v>0</v>
      </c>
      <c r="DB623" s="399">
        <v>0</v>
      </c>
      <c r="DC623" s="399"/>
      <c r="DD623" s="399"/>
      <c r="DE623" s="399">
        <v>0</v>
      </c>
      <c r="DF623" s="399">
        <v>0</v>
      </c>
      <c r="DG623" s="399">
        <v>0</v>
      </c>
      <c r="DH623" s="399">
        <v>0</v>
      </c>
      <c r="DI623" s="399">
        <v>0</v>
      </c>
      <c r="DJ623" s="399"/>
      <c r="DK623" s="399">
        <v>0</v>
      </c>
      <c r="DL623" s="399">
        <v>0</v>
      </c>
      <c r="DM623" s="399"/>
      <c r="DN623" s="399">
        <v>0</v>
      </c>
      <c r="DO623" s="399">
        <v>0</v>
      </c>
      <c r="DP623" s="399">
        <v>-0.37653836901269244</v>
      </c>
      <c r="DQ623" s="399">
        <v>0</v>
      </c>
      <c r="DR623" s="399">
        <v>0</v>
      </c>
      <c r="DS623" s="399"/>
      <c r="DT623" s="399"/>
      <c r="DU623" s="399">
        <v>5383.3860598770952</v>
      </c>
      <c r="DV623" s="399"/>
      <c r="DW623" s="399">
        <v>0</v>
      </c>
      <c r="DX623" s="399">
        <v>0</v>
      </c>
      <c r="DY623" s="399">
        <v>-2327.04</v>
      </c>
      <c r="DZ623" s="399"/>
      <c r="EA623" s="399">
        <v>0</v>
      </c>
      <c r="EB623" s="399"/>
      <c r="EC623" s="399">
        <v>-2325.727130080204</v>
      </c>
      <c r="ED623" s="399"/>
      <c r="EE623" s="399">
        <v>0</v>
      </c>
      <c r="EF623" s="399">
        <v>0</v>
      </c>
      <c r="EG623" s="399"/>
      <c r="EH623" s="399">
        <v>0</v>
      </c>
      <c r="EI623" s="399">
        <v>0</v>
      </c>
      <c r="EJ623" s="399">
        <v>0</v>
      </c>
      <c r="EK623" s="399">
        <v>0</v>
      </c>
      <c r="EL623" s="399">
        <v>0</v>
      </c>
      <c r="EM623" s="399"/>
      <c r="EN623" s="399"/>
      <c r="EO623" s="399">
        <v>0</v>
      </c>
      <c r="EP623" s="399">
        <v>0</v>
      </c>
      <c r="EQ623" s="399"/>
      <c r="ER623" s="399">
        <v>0</v>
      </c>
      <c r="ES623" s="399"/>
      <c r="ET623" s="399">
        <v>0</v>
      </c>
      <c r="EU623" s="399"/>
      <c r="EV623" s="399">
        <v>218</v>
      </c>
      <c r="EW623" s="399"/>
      <c r="EX623" s="399"/>
      <c r="EY623" s="399"/>
      <c r="EZ623" s="399"/>
      <c r="FA623" s="399">
        <v>0</v>
      </c>
      <c r="FB623" s="399"/>
      <c r="FC623" s="399"/>
      <c r="FD623" s="399"/>
      <c r="FE623" s="399"/>
      <c r="FF623" s="399">
        <v>0</v>
      </c>
      <c r="FG623" s="399">
        <v>0</v>
      </c>
      <c r="FH623" s="399">
        <v>0</v>
      </c>
      <c r="FI623" s="399">
        <v>0</v>
      </c>
    </row>
    <row r="624" spans="1:165">
      <c r="A624" s="399">
        <v>631</v>
      </c>
      <c r="B624" s="399" t="s">
        <v>956</v>
      </c>
      <c r="C624" s="399" t="s">
        <v>913</v>
      </c>
      <c r="D624" s="399" t="s">
        <v>533</v>
      </c>
      <c r="E624" s="399" t="s">
        <v>1239</v>
      </c>
      <c r="F624" s="399" t="s">
        <v>1239</v>
      </c>
      <c r="G624" s="399" t="s">
        <v>1239</v>
      </c>
      <c r="H624" s="399" t="s">
        <v>2399</v>
      </c>
      <c r="I624" s="399" t="s">
        <v>1239</v>
      </c>
      <c r="J624" s="399" t="s">
        <v>2400</v>
      </c>
      <c r="K624" s="789">
        <v>44621</v>
      </c>
      <c r="L624" s="399">
        <v>909</v>
      </c>
      <c r="M624" s="399">
        <v>454.5</v>
      </c>
      <c r="N624" s="399">
        <v>0</v>
      </c>
      <c r="O624" s="399">
        <v>0</v>
      </c>
      <c r="P624" s="399">
        <v>0</v>
      </c>
      <c r="Q624" s="399">
        <v>0</v>
      </c>
      <c r="R624" s="399">
        <v>5.93</v>
      </c>
      <c r="S624" s="399"/>
      <c r="T624" s="399"/>
      <c r="U624" s="399">
        <v>5390.37</v>
      </c>
      <c r="V624" s="399"/>
      <c r="W624" s="399">
        <v>5390.37</v>
      </c>
      <c r="X624" s="399">
        <v>3063.33</v>
      </c>
      <c r="Y624" s="399">
        <v>0</v>
      </c>
      <c r="Z624" s="399">
        <v>0</v>
      </c>
      <c r="AA624" s="399">
        <v>0</v>
      </c>
      <c r="AB624" s="399">
        <v>0</v>
      </c>
      <c r="AC624" s="399">
        <v>0</v>
      </c>
      <c r="AD624" s="399">
        <v>0</v>
      </c>
      <c r="AE624" s="399">
        <v>5383.3860598770952</v>
      </c>
      <c r="AF624" s="399"/>
      <c r="AG624" s="399"/>
      <c r="AH624" s="399"/>
      <c r="AI624" s="399">
        <v>0</v>
      </c>
      <c r="AJ624" s="399">
        <v>0</v>
      </c>
      <c r="AK624" s="399">
        <v>0</v>
      </c>
      <c r="AL624" s="399">
        <v>0</v>
      </c>
      <c r="AM624" s="399"/>
      <c r="AN624" s="399">
        <v>9.3380752975356991</v>
      </c>
      <c r="AO624" s="399">
        <v>0</v>
      </c>
      <c r="AP624" s="399">
        <v>0</v>
      </c>
      <c r="AQ624" s="399">
        <v>0</v>
      </c>
      <c r="AR624" s="399">
        <v>0</v>
      </c>
      <c r="AS624" s="399"/>
      <c r="AT624" s="399"/>
      <c r="AU624" s="399">
        <v>0</v>
      </c>
      <c r="AV624" s="399">
        <v>0</v>
      </c>
      <c r="AW624" s="399">
        <v>0</v>
      </c>
      <c r="AX624" s="399"/>
      <c r="AY624" s="399"/>
      <c r="AZ624" s="399">
        <v>0</v>
      </c>
      <c r="BA624" s="399"/>
      <c r="BB624" s="399">
        <v>0</v>
      </c>
      <c r="BC624" s="399">
        <v>0</v>
      </c>
      <c r="BD624" s="399">
        <v>0</v>
      </c>
      <c r="BE624" s="399">
        <v>0</v>
      </c>
      <c r="BF624" s="399"/>
      <c r="BG624" s="399">
        <v>0</v>
      </c>
      <c r="BH624" s="399">
        <v>0</v>
      </c>
      <c r="BI624" s="399">
        <v>116.04</v>
      </c>
      <c r="BJ624" s="399">
        <v>0</v>
      </c>
      <c r="BK624" s="399">
        <v>0</v>
      </c>
      <c r="BL624" s="399">
        <v>0</v>
      </c>
      <c r="BM624" s="399"/>
      <c r="BN624" s="399"/>
      <c r="BO624" s="399">
        <v>1531.665</v>
      </c>
      <c r="BP624" s="399"/>
      <c r="BQ624" s="399"/>
      <c r="BR624" s="399"/>
      <c r="BS624" s="399"/>
      <c r="BT624" s="399"/>
      <c r="BU624" s="399"/>
      <c r="BV624" s="399">
        <v>0</v>
      </c>
      <c r="BW624" s="399"/>
      <c r="BX624" s="399"/>
      <c r="BY624" s="399"/>
      <c r="BZ624" s="399"/>
      <c r="CA624" s="399"/>
      <c r="CB624" s="399"/>
      <c r="CC624" s="399"/>
      <c r="CD624" s="399"/>
      <c r="CE624" s="399"/>
      <c r="CF624" s="399"/>
      <c r="CG624" s="399"/>
      <c r="CH624" s="399"/>
      <c r="CI624" s="399">
        <v>1531.665</v>
      </c>
      <c r="CJ624" s="399">
        <v>-1163.5500000000006</v>
      </c>
      <c r="CK624" s="399"/>
      <c r="CL624" s="399"/>
      <c r="CM624" s="399"/>
      <c r="CN624" s="399"/>
      <c r="CO624" s="399">
        <v>-2327.0399999999995</v>
      </c>
      <c r="CP624" s="399">
        <v>0</v>
      </c>
      <c r="CQ624" s="399">
        <v>31</v>
      </c>
      <c r="CR624" s="399">
        <v>-0.37653836901269244</v>
      </c>
      <c r="CS624" s="399">
        <v>0</v>
      </c>
      <c r="CT624" s="399">
        <v>0</v>
      </c>
      <c r="CU624" s="399">
        <v>0</v>
      </c>
      <c r="CV624" s="399">
        <v>0</v>
      </c>
      <c r="CW624" s="399"/>
      <c r="CX624" s="399"/>
      <c r="CY624" s="399"/>
      <c r="CZ624" s="399">
        <v>0</v>
      </c>
      <c r="DA624" s="399">
        <v>0</v>
      </c>
      <c r="DB624" s="399">
        <v>0</v>
      </c>
      <c r="DC624" s="399"/>
      <c r="DD624" s="399"/>
      <c r="DE624" s="399">
        <v>0</v>
      </c>
      <c r="DF624" s="399">
        <v>0</v>
      </c>
      <c r="DG624" s="399">
        <v>0</v>
      </c>
      <c r="DH624" s="399">
        <v>0</v>
      </c>
      <c r="DI624" s="399">
        <v>0</v>
      </c>
      <c r="DJ624" s="399"/>
      <c r="DK624" s="399">
        <v>0</v>
      </c>
      <c r="DL624" s="399">
        <v>0</v>
      </c>
      <c r="DM624" s="399"/>
      <c r="DN624" s="399">
        <v>0</v>
      </c>
      <c r="DO624" s="399">
        <v>0</v>
      </c>
      <c r="DP624" s="399">
        <v>-0.37653836901269244</v>
      </c>
      <c r="DQ624" s="399">
        <v>0</v>
      </c>
      <c r="DR624" s="399">
        <v>0</v>
      </c>
      <c r="DS624" s="399"/>
      <c r="DT624" s="399"/>
      <c r="DU624" s="399">
        <v>5383.3860598770952</v>
      </c>
      <c r="DV624" s="399"/>
      <c r="DW624" s="399">
        <v>0</v>
      </c>
      <c r="DX624" s="399">
        <v>0</v>
      </c>
      <c r="DY624" s="399">
        <v>-2327.04</v>
      </c>
      <c r="DZ624" s="399"/>
      <c r="EA624" s="399">
        <v>0</v>
      </c>
      <c r="EB624" s="399"/>
      <c r="EC624" s="399">
        <v>-2325.727130080204</v>
      </c>
      <c r="ED624" s="399"/>
      <c r="EE624" s="399">
        <v>0</v>
      </c>
      <c r="EF624" s="399">
        <v>0</v>
      </c>
      <c r="EG624" s="399"/>
      <c r="EH624" s="399">
        <v>0</v>
      </c>
      <c r="EI624" s="399">
        <v>0</v>
      </c>
      <c r="EJ624" s="399">
        <v>0</v>
      </c>
      <c r="EK624" s="399">
        <v>0</v>
      </c>
      <c r="EL624" s="399">
        <v>0</v>
      </c>
      <c r="EM624" s="399"/>
      <c r="EN624" s="399"/>
      <c r="EO624" s="399">
        <v>0</v>
      </c>
      <c r="EP624" s="399">
        <v>0</v>
      </c>
      <c r="EQ624" s="399"/>
      <c r="ER624" s="399">
        <v>0</v>
      </c>
      <c r="ES624" s="399"/>
      <c r="ET624" s="399">
        <v>0</v>
      </c>
      <c r="EU624" s="399"/>
      <c r="EV624" s="399">
        <v>218</v>
      </c>
      <c r="EW624" s="399"/>
      <c r="EX624" s="399"/>
      <c r="EY624" s="399"/>
      <c r="EZ624" s="399"/>
      <c r="FA624" s="399">
        <v>0</v>
      </c>
      <c r="FB624" s="399"/>
      <c r="FC624" s="399"/>
      <c r="FD624" s="399"/>
      <c r="FE624" s="399"/>
      <c r="FF624" s="399">
        <v>0</v>
      </c>
      <c r="FG624" s="399">
        <v>0</v>
      </c>
      <c r="FH624" s="399">
        <v>0</v>
      </c>
      <c r="FI624" s="399">
        <v>0</v>
      </c>
    </row>
    <row r="625" spans="1:165">
      <c r="A625" s="399">
        <v>632</v>
      </c>
      <c r="B625" s="399" t="s">
        <v>956</v>
      </c>
      <c r="C625" s="399" t="s">
        <v>913</v>
      </c>
      <c r="D625" s="399" t="s">
        <v>533</v>
      </c>
      <c r="E625" s="399" t="s">
        <v>1239</v>
      </c>
      <c r="F625" s="399" t="s">
        <v>1239</v>
      </c>
      <c r="G625" s="399" t="s">
        <v>1239</v>
      </c>
      <c r="H625" s="399" t="s">
        <v>2399</v>
      </c>
      <c r="I625" s="399" t="s">
        <v>1239</v>
      </c>
      <c r="J625" s="399" t="s">
        <v>2400</v>
      </c>
      <c r="K625" s="789">
        <v>44652</v>
      </c>
      <c r="L625" s="399">
        <v>909</v>
      </c>
      <c r="M625" s="399">
        <v>454.5</v>
      </c>
      <c r="N625" s="399">
        <v>0</v>
      </c>
      <c r="O625" s="399">
        <v>0</v>
      </c>
      <c r="P625" s="399">
        <v>0</v>
      </c>
      <c r="Q625" s="399">
        <v>0</v>
      </c>
      <c r="R625" s="399">
        <v>5.93</v>
      </c>
      <c r="S625" s="399"/>
      <c r="T625" s="399"/>
      <c r="U625" s="399">
        <v>5390.37</v>
      </c>
      <c r="V625" s="399"/>
      <c r="W625" s="399">
        <v>5390.37</v>
      </c>
      <c r="X625" s="399">
        <v>3063.33</v>
      </c>
      <c r="Y625" s="399">
        <v>0</v>
      </c>
      <c r="Z625" s="399">
        <v>0</v>
      </c>
      <c r="AA625" s="399">
        <v>0</v>
      </c>
      <c r="AB625" s="399">
        <v>0</v>
      </c>
      <c r="AC625" s="399">
        <v>0</v>
      </c>
      <c r="AD625" s="399">
        <v>0</v>
      </c>
      <c r="AE625" s="399">
        <v>5383.3860598770952</v>
      </c>
      <c r="AF625" s="399"/>
      <c r="AG625" s="399"/>
      <c r="AH625" s="399"/>
      <c r="AI625" s="399">
        <v>0</v>
      </c>
      <c r="AJ625" s="399">
        <v>0</v>
      </c>
      <c r="AK625" s="399">
        <v>0</v>
      </c>
      <c r="AL625" s="399">
        <v>0</v>
      </c>
      <c r="AM625" s="399"/>
      <c r="AN625" s="399">
        <v>9.3380752975356991</v>
      </c>
      <c r="AO625" s="399">
        <v>0</v>
      </c>
      <c r="AP625" s="399">
        <v>0</v>
      </c>
      <c r="AQ625" s="399">
        <v>0</v>
      </c>
      <c r="AR625" s="399">
        <v>0</v>
      </c>
      <c r="AS625" s="399"/>
      <c r="AT625" s="399"/>
      <c r="AU625" s="399">
        <v>0</v>
      </c>
      <c r="AV625" s="399">
        <v>0</v>
      </c>
      <c r="AW625" s="399">
        <v>0</v>
      </c>
      <c r="AX625" s="399"/>
      <c r="AY625" s="399"/>
      <c r="AZ625" s="399">
        <v>0</v>
      </c>
      <c r="BA625" s="399"/>
      <c r="BB625" s="399">
        <v>0</v>
      </c>
      <c r="BC625" s="399">
        <v>0</v>
      </c>
      <c r="BD625" s="399">
        <v>0</v>
      </c>
      <c r="BE625" s="399">
        <v>0</v>
      </c>
      <c r="BF625" s="399"/>
      <c r="BG625" s="399">
        <v>0</v>
      </c>
      <c r="BH625" s="399">
        <v>0</v>
      </c>
      <c r="BI625" s="399">
        <v>116.04</v>
      </c>
      <c r="BJ625" s="399">
        <v>0</v>
      </c>
      <c r="BK625" s="399">
        <v>0</v>
      </c>
      <c r="BL625" s="399">
        <v>0</v>
      </c>
      <c r="BM625" s="399"/>
      <c r="BN625" s="399"/>
      <c r="BO625" s="399">
        <v>1531.665</v>
      </c>
      <c r="BP625" s="399"/>
      <c r="BQ625" s="399"/>
      <c r="BR625" s="399"/>
      <c r="BS625" s="399"/>
      <c r="BT625" s="399"/>
      <c r="BU625" s="399"/>
      <c r="BV625" s="399">
        <v>0</v>
      </c>
      <c r="BW625" s="399"/>
      <c r="BX625" s="399"/>
      <c r="BY625" s="399"/>
      <c r="BZ625" s="399"/>
      <c r="CA625" s="399"/>
      <c r="CB625" s="399"/>
      <c r="CC625" s="399"/>
      <c r="CD625" s="399"/>
      <c r="CE625" s="399"/>
      <c r="CF625" s="399"/>
      <c r="CG625" s="399"/>
      <c r="CH625" s="399"/>
      <c r="CI625" s="399">
        <v>1531.665</v>
      </c>
      <c r="CJ625" s="399">
        <v>-1163.5500000000006</v>
      </c>
      <c r="CK625" s="399"/>
      <c r="CL625" s="399"/>
      <c r="CM625" s="399"/>
      <c r="CN625" s="399"/>
      <c r="CO625" s="399">
        <v>-2327.0399999999995</v>
      </c>
      <c r="CP625" s="399">
        <v>0</v>
      </c>
      <c r="CQ625" s="399">
        <v>30</v>
      </c>
      <c r="CR625" s="399">
        <v>-0.37653836901269244</v>
      </c>
      <c r="CS625" s="399">
        <v>0</v>
      </c>
      <c r="CT625" s="399">
        <v>0</v>
      </c>
      <c r="CU625" s="399">
        <v>0</v>
      </c>
      <c r="CV625" s="399">
        <v>0</v>
      </c>
      <c r="CW625" s="399"/>
      <c r="CX625" s="399"/>
      <c r="CY625" s="399"/>
      <c r="CZ625" s="399">
        <v>0</v>
      </c>
      <c r="DA625" s="399">
        <v>0</v>
      </c>
      <c r="DB625" s="399">
        <v>0</v>
      </c>
      <c r="DC625" s="399"/>
      <c r="DD625" s="399"/>
      <c r="DE625" s="399">
        <v>0</v>
      </c>
      <c r="DF625" s="399">
        <v>0</v>
      </c>
      <c r="DG625" s="399">
        <v>0</v>
      </c>
      <c r="DH625" s="399">
        <v>0</v>
      </c>
      <c r="DI625" s="399">
        <v>0</v>
      </c>
      <c r="DJ625" s="399"/>
      <c r="DK625" s="399">
        <v>0</v>
      </c>
      <c r="DL625" s="399">
        <v>0</v>
      </c>
      <c r="DM625" s="399"/>
      <c r="DN625" s="399">
        <v>0</v>
      </c>
      <c r="DO625" s="399">
        <v>0</v>
      </c>
      <c r="DP625" s="399">
        <v>-0.37653836901269244</v>
      </c>
      <c r="DQ625" s="399">
        <v>0</v>
      </c>
      <c r="DR625" s="399">
        <v>0</v>
      </c>
      <c r="DS625" s="399"/>
      <c r="DT625" s="399"/>
      <c r="DU625" s="399">
        <v>5383.3860598770952</v>
      </c>
      <c r="DV625" s="399"/>
      <c r="DW625" s="399">
        <v>0</v>
      </c>
      <c r="DX625" s="399">
        <v>0</v>
      </c>
      <c r="DY625" s="399">
        <v>-2327.04</v>
      </c>
      <c r="DZ625" s="399"/>
      <c r="EA625" s="399">
        <v>0</v>
      </c>
      <c r="EB625" s="399"/>
      <c r="EC625" s="399">
        <v>-2325.727130080204</v>
      </c>
      <c r="ED625" s="399"/>
      <c r="EE625" s="399">
        <v>0</v>
      </c>
      <c r="EF625" s="399">
        <v>0</v>
      </c>
      <c r="EG625" s="399"/>
      <c r="EH625" s="399">
        <v>0</v>
      </c>
      <c r="EI625" s="399">
        <v>0</v>
      </c>
      <c r="EJ625" s="399">
        <v>0</v>
      </c>
      <c r="EK625" s="399">
        <v>0</v>
      </c>
      <c r="EL625" s="399">
        <v>0</v>
      </c>
      <c r="EM625" s="399"/>
      <c r="EN625" s="399"/>
      <c r="EO625" s="399">
        <v>0</v>
      </c>
      <c r="EP625" s="399">
        <v>0</v>
      </c>
      <c r="EQ625" s="399"/>
      <c r="ER625" s="399">
        <v>0</v>
      </c>
      <c r="ES625" s="399"/>
      <c r="ET625" s="399">
        <v>0</v>
      </c>
      <c r="EU625" s="399"/>
      <c r="EV625" s="399">
        <v>218</v>
      </c>
      <c r="EW625" s="399"/>
      <c r="EX625" s="399"/>
      <c r="EY625" s="399"/>
      <c r="EZ625" s="399"/>
      <c r="FA625" s="399">
        <v>0</v>
      </c>
      <c r="FB625" s="399"/>
      <c r="FC625" s="399"/>
      <c r="FD625" s="399"/>
      <c r="FE625" s="399"/>
      <c r="FF625" s="399">
        <v>0</v>
      </c>
      <c r="FG625" s="399">
        <v>0</v>
      </c>
      <c r="FH625" s="399">
        <v>0</v>
      </c>
      <c r="FI625" s="399">
        <v>0</v>
      </c>
    </row>
    <row r="626" spans="1:165">
      <c r="A626" s="399">
        <v>633</v>
      </c>
      <c r="B626" s="399" t="s">
        <v>956</v>
      </c>
      <c r="C626" s="399" t="s">
        <v>913</v>
      </c>
      <c r="D626" s="399" t="s">
        <v>533</v>
      </c>
      <c r="E626" s="399" t="s">
        <v>1239</v>
      </c>
      <c r="F626" s="399" t="s">
        <v>1239</v>
      </c>
      <c r="G626" s="399" t="s">
        <v>1239</v>
      </c>
      <c r="H626" s="399" t="s">
        <v>2399</v>
      </c>
      <c r="I626" s="399" t="s">
        <v>1239</v>
      </c>
      <c r="J626" s="399" t="s">
        <v>2400</v>
      </c>
      <c r="K626" s="789">
        <v>44682</v>
      </c>
      <c r="L626" s="399">
        <v>909</v>
      </c>
      <c r="M626" s="399">
        <v>454.5</v>
      </c>
      <c r="N626" s="399">
        <v>0</v>
      </c>
      <c r="O626" s="399">
        <v>0</v>
      </c>
      <c r="P626" s="399">
        <v>0</v>
      </c>
      <c r="Q626" s="399">
        <v>0</v>
      </c>
      <c r="R626" s="399">
        <v>5.93</v>
      </c>
      <c r="S626" s="399"/>
      <c r="T626" s="399"/>
      <c r="U626" s="399">
        <v>5390.37</v>
      </c>
      <c r="V626" s="399"/>
      <c r="W626" s="399">
        <v>5390.37</v>
      </c>
      <c r="X626" s="399">
        <v>3063.33</v>
      </c>
      <c r="Y626" s="399">
        <v>0</v>
      </c>
      <c r="Z626" s="399">
        <v>0</v>
      </c>
      <c r="AA626" s="399">
        <v>0</v>
      </c>
      <c r="AB626" s="399">
        <v>0</v>
      </c>
      <c r="AC626" s="399">
        <v>0</v>
      </c>
      <c r="AD626" s="399">
        <v>0</v>
      </c>
      <c r="AE626" s="399">
        <v>5383.3860598770952</v>
      </c>
      <c r="AF626" s="399"/>
      <c r="AG626" s="399"/>
      <c r="AH626" s="399"/>
      <c r="AI626" s="399">
        <v>0</v>
      </c>
      <c r="AJ626" s="399">
        <v>0</v>
      </c>
      <c r="AK626" s="399">
        <v>0</v>
      </c>
      <c r="AL626" s="399">
        <v>0</v>
      </c>
      <c r="AM626" s="399"/>
      <c r="AN626" s="399">
        <v>9.3380752975356991</v>
      </c>
      <c r="AO626" s="399">
        <v>0</v>
      </c>
      <c r="AP626" s="399">
        <v>0</v>
      </c>
      <c r="AQ626" s="399">
        <v>0</v>
      </c>
      <c r="AR626" s="399">
        <v>0</v>
      </c>
      <c r="AS626" s="399"/>
      <c r="AT626" s="399"/>
      <c r="AU626" s="399">
        <v>0</v>
      </c>
      <c r="AV626" s="399">
        <v>0</v>
      </c>
      <c r="AW626" s="399">
        <v>0</v>
      </c>
      <c r="AX626" s="399"/>
      <c r="AY626" s="399"/>
      <c r="AZ626" s="399">
        <v>0</v>
      </c>
      <c r="BA626" s="399"/>
      <c r="BB626" s="399">
        <v>0</v>
      </c>
      <c r="BC626" s="399">
        <v>0</v>
      </c>
      <c r="BD626" s="399">
        <v>0</v>
      </c>
      <c r="BE626" s="399">
        <v>0</v>
      </c>
      <c r="BF626" s="399"/>
      <c r="BG626" s="399">
        <v>0</v>
      </c>
      <c r="BH626" s="399">
        <v>0</v>
      </c>
      <c r="BI626" s="399">
        <v>116.04</v>
      </c>
      <c r="BJ626" s="399">
        <v>0</v>
      </c>
      <c r="BK626" s="399">
        <v>0</v>
      </c>
      <c r="BL626" s="399">
        <v>0</v>
      </c>
      <c r="BM626" s="399"/>
      <c r="BN626" s="399"/>
      <c r="BO626" s="399">
        <v>1531.665</v>
      </c>
      <c r="BP626" s="399"/>
      <c r="BQ626" s="399"/>
      <c r="BR626" s="399"/>
      <c r="BS626" s="399"/>
      <c r="BT626" s="399"/>
      <c r="BU626" s="399"/>
      <c r="BV626" s="399">
        <v>0</v>
      </c>
      <c r="BW626" s="399"/>
      <c r="BX626" s="399"/>
      <c r="BY626" s="399"/>
      <c r="BZ626" s="399"/>
      <c r="CA626" s="399"/>
      <c r="CB626" s="399"/>
      <c r="CC626" s="399"/>
      <c r="CD626" s="399"/>
      <c r="CE626" s="399"/>
      <c r="CF626" s="399"/>
      <c r="CG626" s="399"/>
      <c r="CH626" s="399"/>
      <c r="CI626" s="399">
        <v>1531.665</v>
      </c>
      <c r="CJ626" s="399">
        <v>-1163.5500000000006</v>
      </c>
      <c r="CK626" s="399"/>
      <c r="CL626" s="399"/>
      <c r="CM626" s="399"/>
      <c r="CN626" s="399"/>
      <c r="CO626" s="399">
        <v>-2327.0399999999995</v>
      </c>
      <c r="CP626" s="399">
        <v>0</v>
      </c>
      <c r="CQ626" s="399">
        <v>31</v>
      </c>
      <c r="CR626" s="399">
        <v>-0.37653836901269244</v>
      </c>
      <c r="CS626" s="399">
        <v>0</v>
      </c>
      <c r="CT626" s="399">
        <v>0</v>
      </c>
      <c r="CU626" s="399">
        <v>0</v>
      </c>
      <c r="CV626" s="399">
        <v>0</v>
      </c>
      <c r="CW626" s="399"/>
      <c r="CX626" s="399"/>
      <c r="CY626" s="399"/>
      <c r="CZ626" s="399">
        <v>0</v>
      </c>
      <c r="DA626" s="399">
        <v>0</v>
      </c>
      <c r="DB626" s="399">
        <v>0</v>
      </c>
      <c r="DC626" s="399"/>
      <c r="DD626" s="399"/>
      <c r="DE626" s="399">
        <v>0</v>
      </c>
      <c r="DF626" s="399">
        <v>0</v>
      </c>
      <c r="DG626" s="399">
        <v>0</v>
      </c>
      <c r="DH626" s="399">
        <v>0</v>
      </c>
      <c r="DI626" s="399">
        <v>0</v>
      </c>
      <c r="DJ626" s="399"/>
      <c r="DK626" s="399">
        <v>0</v>
      </c>
      <c r="DL626" s="399">
        <v>0</v>
      </c>
      <c r="DM626" s="399"/>
      <c r="DN626" s="399">
        <v>0</v>
      </c>
      <c r="DO626" s="399">
        <v>0</v>
      </c>
      <c r="DP626" s="399">
        <v>-0.37653836901269244</v>
      </c>
      <c r="DQ626" s="399">
        <v>0</v>
      </c>
      <c r="DR626" s="399">
        <v>0</v>
      </c>
      <c r="DS626" s="399"/>
      <c r="DT626" s="399"/>
      <c r="DU626" s="399">
        <v>5383.3860598770952</v>
      </c>
      <c r="DV626" s="399"/>
      <c r="DW626" s="399">
        <v>0</v>
      </c>
      <c r="DX626" s="399">
        <v>0</v>
      </c>
      <c r="DY626" s="399">
        <v>-2327.04</v>
      </c>
      <c r="DZ626" s="399"/>
      <c r="EA626" s="399">
        <v>0</v>
      </c>
      <c r="EB626" s="399"/>
      <c r="EC626" s="399">
        <v>-2325.727130080204</v>
      </c>
      <c r="ED626" s="399"/>
      <c r="EE626" s="399">
        <v>0</v>
      </c>
      <c r="EF626" s="399">
        <v>0</v>
      </c>
      <c r="EG626" s="399"/>
      <c r="EH626" s="399">
        <v>0</v>
      </c>
      <c r="EI626" s="399">
        <v>0</v>
      </c>
      <c r="EJ626" s="399">
        <v>0</v>
      </c>
      <c r="EK626" s="399">
        <v>0</v>
      </c>
      <c r="EL626" s="399">
        <v>0</v>
      </c>
      <c r="EM626" s="399"/>
      <c r="EN626" s="399"/>
      <c r="EO626" s="399">
        <v>0</v>
      </c>
      <c r="EP626" s="399">
        <v>0</v>
      </c>
      <c r="EQ626" s="399"/>
      <c r="ER626" s="399">
        <v>0</v>
      </c>
      <c r="ES626" s="399"/>
      <c r="ET626" s="399">
        <v>0</v>
      </c>
      <c r="EU626" s="399"/>
      <c r="EV626" s="399">
        <v>218</v>
      </c>
      <c r="EW626" s="399"/>
      <c r="EX626" s="399"/>
      <c r="EY626" s="399"/>
      <c r="EZ626" s="399"/>
      <c r="FA626" s="399">
        <v>0</v>
      </c>
      <c r="FB626" s="399"/>
      <c r="FC626" s="399"/>
      <c r="FD626" s="399"/>
      <c r="FE626" s="399"/>
      <c r="FF626" s="399">
        <v>0</v>
      </c>
      <c r="FG626" s="399">
        <v>0</v>
      </c>
      <c r="FH626" s="399">
        <v>0</v>
      </c>
      <c r="FI626" s="399">
        <v>0</v>
      </c>
    </row>
    <row r="627" spans="1:165">
      <c r="A627" s="399">
        <v>634</v>
      </c>
      <c r="B627" s="399" t="s">
        <v>956</v>
      </c>
      <c r="C627" s="399" t="s">
        <v>913</v>
      </c>
      <c r="D627" s="399" t="s">
        <v>533</v>
      </c>
      <c r="E627" s="399" t="s">
        <v>1239</v>
      </c>
      <c r="F627" s="399" t="s">
        <v>1239</v>
      </c>
      <c r="G627" s="399" t="s">
        <v>1239</v>
      </c>
      <c r="H627" s="399" t="s">
        <v>2399</v>
      </c>
      <c r="I627" s="399" t="s">
        <v>1239</v>
      </c>
      <c r="J627" s="399" t="s">
        <v>2400</v>
      </c>
      <c r="K627" s="789">
        <v>44713</v>
      </c>
      <c r="L627" s="399">
        <v>909</v>
      </c>
      <c r="M627" s="399">
        <v>454.5</v>
      </c>
      <c r="N627" s="399">
        <v>0</v>
      </c>
      <c r="O627" s="399">
        <v>0</v>
      </c>
      <c r="P627" s="399">
        <v>0</v>
      </c>
      <c r="Q627" s="399">
        <v>0</v>
      </c>
      <c r="R627" s="399">
        <v>5.93</v>
      </c>
      <c r="S627" s="399"/>
      <c r="T627" s="399"/>
      <c r="U627" s="399">
        <v>5390.37</v>
      </c>
      <c r="V627" s="399"/>
      <c r="W627" s="399">
        <v>5390.37</v>
      </c>
      <c r="X627" s="399">
        <v>3063.33</v>
      </c>
      <c r="Y627" s="399">
        <v>0</v>
      </c>
      <c r="Z627" s="399">
        <v>0</v>
      </c>
      <c r="AA627" s="399">
        <v>0</v>
      </c>
      <c r="AB627" s="399">
        <v>0</v>
      </c>
      <c r="AC627" s="399">
        <v>0</v>
      </c>
      <c r="AD627" s="399">
        <v>0</v>
      </c>
      <c r="AE627" s="399">
        <v>5383.3860598770952</v>
      </c>
      <c r="AF627" s="399"/>
      <c r="AG627" s="399"/>
      <c r="AH627" s="399"/>
      <c r="AI627" s="399">
        <v>0</v>
      </c>
      <c r="AJ627" s="399">
        <v>0</v>
      </c>
      <c r="AK627" s="399">
        <v>0</v>
      </c>
      <c r="AL627" s="399">
        <v>0</v>
      </c>
      <c r="AM627" s="399"/>
      <c r="AN627" s="399">
        <v>9.3380752975356991</v>
      </c>
      <c r="AO627" s="399">
        <v>0</v>
      </c>
      <c r="AP627" s="399">
        <v>0</v>
      </c>
      <c r="AQ627" s="399">
        <v>0</v>
      </c>
      <c r="AR627" s="399">
        <v>0</v>
      </c>
      <c r="AS627" s="399"/>
      <c r="AT627" s="399"/>
      <c r="AU627" s="399">
        <v>0</v>
      </c>
      <c r="AV627" s="399">
        <v>0</v>
      </c>
      <c r="AW627" s="399">
        <v>0</v>
      </c>
      <c r="AX627" s="399"/>
      <c r="AY627" s="399"/>
      <c r="AZ627" s="399">
        <v>0</v>
      </c>
      <c r="BA627" s="399"/>
      <c r="BB627" s="399">
        <v>0</v>
      </c>
      <c r="BC627" s="399">
        <v>0</v>
      </c>
      <c r="BD627" s="399">
        <v>0</v>
      </c>
      <c r="BE627" s="399">
        <v>0</v>
      </c>
      <c r="BF627" s="399"/>
      <c r="BG627" s="399">
        <v>0</v>
      </c>
      <c r="BH627" s="399">
        <v>0</v>
      </c>
      <c r="BI627" s="399">
        <v>116.04</v>
      </c>
      <c r="BJ627" s="399">
        <v>0</v>
      </c>
      <c r="BK627" s="399">
        <v>0</v>
      </c>
      <c r="BL627" s="399">
        <v>0</v>
      </c>
      <c r="BM627" s="399"/>
      <c r="BN627" s="399"/>
      <c r="BO627" s="399">
        <v>1531.665</v>
      </c>
      <c r="BP627" s="399"/>
      <c r="BQ627" s="399"/>
      <c r="BR627" s="399"/>
      <c r="BS627" s="399"/>
      <c r="BT627" s="399"/>
      <c r="BU627" s="399"/>
      <c r="BV627" s="399">
        <v>0</v>
      </c>
      <c r="BW627" s="399"/>
      <c r="BX627" s="399"/>
      <c r="BY627" s="399"/>
      <c r="BZ627" s="399"/>
      <c r="CA627" s="399"/>
      <c r="CB627" s="399"/>
      <c r="CC627" s="399"/>
      <c r="CD627" s="399"/>
      <c r="CE627" s="399"/>
      <c r="CF627" s="399"/>
      <c r="CG627" s="399"/>
      <c r="CH627" s="399"/>
      <c r="CI627" s="399">
        <v>1531.665</v>
      </c>
      <c r="CJ627" s="399">
        <v>-1163.5500000000006</v>
      </c>
      <c r="CK627" s="399"/>
      <c r="CL627" s="399"/>
      <c r="CM627" s="399"/>
      <c r="CN627" s="399"/>
      <c r="CO627" s="399">
        <v>-2327.0399999999995</v>
      </c>
      <c r="CP627" s="399">
        <v>0</v>
      </c>
      <c r="CQ627" s="399">
        <v>30</v>
      </c>
      <c r="CR627" s="399">
        <v>-0.37653836901269244</v>
      </c>
      <c r="CS627" s="399">
        <v>0</v>
      </c>
      <c r="CT627" s="399">
        <v>0</v>
      </c>
      <c r="CU627" s="399">
        <v>0</v>
      </c>
      <c r="CV627" s="399">
        <v>0</v>
      </c>
      <c r="CW627" s="399"/>
      <c r="CX627" s="399"/>
      <c r="CY627" s="399"/>
      <c r="CZ627" s="399">
        <v>0</v>
      </c>
      <c r="DA627" s="399">
        <v>0</v>
      </c>
      <c r="DB627" s="399">
        <v>0</v>
      </c>
      <c r="DC627" s="399"/>
      <c r="DD627" s="399"/>
      <c r="DE627" s="399">
        <v>0</v>
      </c>
      <c r="DF627" s="399">
        <v>0</v>
      </c>
      <c r="DG627" s="399">
        <v>0</v>
      </c>
      <c r="DH627" s="399">
        <v>0</v>
      </c>
      <c r="DI627" s="399">
        <v>0</v>
      </c>
      <c r="DJ627" s="399"/>
      <c r="DK627" s="399">
        <v>0</v>
      </c>
      <c r="DL627" s="399">
        <v>0</v>
      </c>
      <c r="DM627" s="399"/>
      <c r="DN627" s="399">
        <v>0</v>
      </c>
      <c r="DO627" s="399">
        <v>0</v>
      </c>
      <c r="DP627" s="399">
        <v>-0.37653836901269244</v>
      </c>
      <c r="DQ627" s="399">
        <v>0</v>
      </c>
      <c r="DR627" s="399">
        <v>0</v>
      </c>
      <c r="DS627" s="399"/>
      <c r="DT627" s="399"/>
      <c r="DU627" s="399">
        <v>5383.3860598770952</v>
      </c>
      <c r="DV627" s="399"/>
      <c r="DW627" s="399">
        <v>0</v>
      </c>
      <c r="DX627" s="399">
        <v>0</v>
      </c>
      <c r="DY627" s="399">
        <v>-2327.04</v>
      </c>
      <c r="DZ627" s="399"/>
      <c r="EA627" s="399">
        <v>0</v>
      </c>
      <c r="EB627" s="399"/>
      <c r="EC627" s="399">
        <v>-2325.727130080204</v>
      </c>
      <c r="ED627" s="399"/>
      <c r="EE627" s="399">
        <v>0</v>
      </c>
      <c r="EF627" s="399">
        <v>0</v>
      </c>
      <c r="EG627" s="399"/>
      <c r="EH627" s="399">
        <v>0</v>
      </c>
      <c r="EI627" s="399">
        <v>0</v>
      </c>
      <c r="EJ627" s="399">
        <v>0</v>
      </c>
      <c r="EK627" s="399">
        <v>0</v>
      </c>
      <c r="EL627" s="399">
        <v>0</v>
      </c>
      <c r="EM627" s="399"/>
      <c r="EN627" s="399"/>
      <c r="EO627" s="399">
        <v>0</v>
      </c>
      <c r="EP627" s="399">
        <v>0</v>
      </c>
      <c r="EQ627" s="399"/>
      <c r="ER627" s="399">
        <v>0</v>
      </c>
      <c r="ES627" s="399"/>
      <c r="ET627" s="399">
        <v>0</v>
      </c>
      <c r="EU627" s="399"/>
      <c r="EV627" s="399">
        <v>218</v>
      </c>
      <c r="EW627" s="399"/>
      <c r="EX627" s="399"/>
      <c r="EY627" s="399"/>
      <c r="EZ627" s="399"/>
      <c r="FA627" s="399">
        <v>0</v>
      </c>
      <c r="FB627" s="399"/>
      <c r="FC627" s="399"/>
      <c r="FD627" s="399"/>
      <c r="FE627" s="399"/>
      <c r="FF627" s="399">
        <v>0</v>
      </c>
      <c r="FG627" s="399">
        <v>0</v>
      </c>
      <c r="FH627" s="399">
        <v>0</v>
      </c>
      <c r="FI627" s="399">
        <v>0</v>
      </c>
    </row>
    <row r="628" spans="1:165">
      <c r="A628" s="399">
        <v>635</v>
      </c>
      <c r="B628" s="399" t="s">
        <v>956</v>
      </c>
      <c r="C628" s="399" t="s">
        <v>913</v>
      </c>
      <c r="D628" s="399" t="s">
        <v>533</v>
      </c>
      <c r="E628" s="399" t="s">
        <v>1239</v>
      </c>
      <c r="F628" s="399" t="s">
        <v>1239</v>
      </c>
      <c r="G628" s="399" t="s">
        <v>1239</v>
      </c>
      <c r="H628" s="399" t="s">
        <v>2399</v>
      </c>
      <c r="I628" s="399" t="s">
        <v>1239</v>
      </c>
      <c r="J628" s="399" t="s">
        <v>2400</v>
      </c>
      <c r="K628" s="789">
        <v>44743</v>
      </c>
      <c r="L628" s="399">
        <v>909</v>
      </c>
      <c r="M628" s="399">
        <v>454.5</v>
      </c>
      <c r="N628" s="399">
        <v>0</v>
      </c>
      <c r="O628" s="399">
        <v>0</v>
      </c>
      <c r="P628" s="399">
        <v>0</v>
      </c>
      <c r="Q628" s="399">
        <v>0</v>
      </c>
      <c r="R628" s="399">
        <v>5.93</v>
      </c>
      <c r="S628" s="399"/>
      <c r="T628" s="399"/>
      <c r="U628" s="399">
        <v>5390.37</v>
      </c>
      <c r="V628" s="399"/>
      <c r="W628" s="399">
        <v>5390.37</v>
      </c>
      <c r="X628" s="399">
        <v>3063.33</v>
      </c>
      <c r="Y628" s="399">
        <v>0</v>
      </c>
      <c r="Z628" s="399">
        <v>0</v>
      </c>
      <c r="AA628" s="399">
        <v>0</v>
      </c>
      <c r="AB628" s="399">
        <v>0</v>
      </c>
      <c r="AC628" s="399">
        <v>0</v>
      </c>
      <c r="AD628" s="399">
        <v>0</v>
      </c>
      <c r="AE628" s="399">
        <v>5383.3860598770952</v>
      </c>
      <c r="AF628" s="399"/>
      <c r="AG628" s="399"/>
      <c r="AH628" s="399"/>
      <c r="AI628" s="399">
        <v>0</v>
      </c>
      <c r="AJ628" s="399">
        <v>0</v>
      </c>
      <c r="AK628" s="399">
        <v>0</v>
      </c>
      <c r="AL628" s="399">
        <v>0</v>
      </c>
      <c r="AM628" s="399"/>
      <c r="AN628" s="399">
        <v>9.3380752975356991</v>
      </c>
      <c r="AO628" s="399">
        <v>0</v>
      </c>
      <c r="AP628" s="399">
        <v>0</v>
      </c>
      <c r="AQ628" s="399">
        <v>0</v>
      </c>
      <c r="AR628" s="399">
        <v>0</v>
      </c>
      <c r="AS628" s="399"/>
      <c r="AT628" s="399"/>
      <c r="AU628" s="399">
        <v>0</v>
      </c>
      <c r="AV628" s="399">
        <v>0</v>
      </c>
      <c r="AW628" s="399">
        <v>0</v>
      </c>
      <c r="AX628" s="399"/>
      <c r="AY628" s="399"/>
      <c r="AZ628" s="399">
        <v>0</v>
      </c>
      <c r="BA628" s="399"/>
      <c r="BB628" s="399">
        <v>0</v>
      </c>
      <c r="BC628" s="399">
        <v>0</v>
      </c>
      <c r="BD628" s="399">
        <v>0</v>
      </c>
      <c r="BE628" s="399">
        <v>0</v>
      </c>
      <c r="BF628" s="399"/>
      <c r="BG628" s="399">
        <v>0</v>
      </c>
      <c r="BH628" s="399">
        <v>0</v>
      </c>
      <c r="BI628" s="399">
        <v>116.04</v>
      </c>
      <c r="BJ628" s="399">
        <v>0</v>
      </c>
      <c r="BK628" s="399">
        <v>0</v>
      </c>
      <c r="BL628" s="399">
        <v>0</v>
      </c>
      <c r="BM628" s="399"/>
      <c r="BN628" s="399"/>
      <c r="BO628" s="399">
        <v>1531.665</v>
      </c>
      <c r="BP628" s="399"/>
      <c r="BQ628" s="399"/>
      <c r="BR628" s="399"/>
      <c r="BS628" s="399"/>
      <c r="BT628" s="399"/>
      <c r="BU628" s="399"/>
      <c r="BV628" s="399">
        <v>0</v>
      </c>
      <c r="BW628" s="399"/>
      <c r="BX628" s="399"/>
      <c r="BY628" s="399"/>
      <c r="BZ628" s="399"/>
      <c r="CA628" s="399"/>
      <c r="CB628" s="399"/>
      <c r="CC628" s="399"/>
      <c r="CD628" s="399"/>
      <c r="CE628" s="399"/>
      <c r="CF628" s="399"/>
      <c r="CG628" s="399"/>
      <c r="CH628" s="399"/>
      <c r="CI628" s="399">
        <v>1531.665</v>
      </c>
      <c r="CJ628" s="399">
        <v>-1163.5500000000006</v>
      </c>
      <c r="CK628" s="399"/>
      <c r="CL628" s="399"/>
      <c r="CM628" s="399"/>
      <c r="CN628" s="399"/>
      <c r="CO628" s="399">
        <v>-2327.0399999999995</v>
      </c>
      <c r="CP628" s="399">
        <v>0</v>
      </c>
      <c r="CQ628" s="399">
        <v>31</v>
      </c>
      <c r="CR628" s="399">
        <v>-0.37653836901269244</v>
      </c>
      <c r="CS628" s="399">
        <v>0</v>
      </c>
      <c r="CT628" s="399">
        <v>0</v>
      </c>
      <c r="CU628" s="399">
        <v>0</v>
      </c>
      <c r="CV628" s="399">
        <v>0</v>
      </c>
      <c r="CW628" s="399"/>
      <c r="CX628" s="399"/>
      <c r="CY628" s="399"/>
      <c r="CZ628" s="399">
        <v>0</v>
      </c>
      <c r="DA628" s="399">
        <v>0</v>
      </c>
      <c r="DB628" s="399">
        <v>0</v>
      </c>
      <c r="DC628" s="399"/>
      <c r="DD628" s="399"/>
      <c r="DE628" s="399">
        <v>0</v>
      </c>
      <c r="DF628" s="399">
        <v>0</v>
      </c>
      <c r="DG628" s="399">
        <v>0</v>
      </c>
      <c r="DH628" s="399">
        <v>0</v>
      </c>
      <c r="DI628" s="399">
        <v>0</v>
      </c>
      <c r="DJ628" s="399"/>
      <c r="DK628" s="399">
        <v>0</v>
      </c>
      <c r="DL628" s="399">
        <v>0</v>
      </c>
      <c r="DM628" s="399"/>
      <c r="DN628" s="399">
        <v>0</v>
      </c>
      <c r="DO628" s="399">
        <v>0</v>
      </c>
      <c r="DP628" s="399">
        <v>-0.37653836901269244</v>
      </c>
      <c r="DQ628" s="399">
        <v>0</v>
      </c>
      <c r="DR628" s="399">
        <v>0</v>
      </c>
      <c r="DS628" s="399"/>
      <c r="DT628" s="399"/>
      <c r="DU628" s="399">
        <v>5383.3860598770952</v>
      </c>
      <c r="DV628" s="399"/>
      <c r="DW628" s="399">
        <v>0</v>
      </c>
      <c r="DX628" s="399">
        <v>0</v>
      </c>
      <c r="DY628" s="399">
        <v>-2327.04</v>
      </c>
      <c r="DZ628" s="399"/>
      <c r="EA628" s="399">
        <v>0</v>
      </c>
      <c r="EB628" s="399"/>
      <c r="EC628" s="399">
        <v>-2325.727130080204</v>
      </c>
      <c r="ED628" s="399"/>
      <c r="EE628" s="399">
        <v>0</v>
      </c>
      <c r="EF628" s="399">
        <v>0</v>
      </c>
      <c r="EG628" s="399"/>
      <c r="EH628" s="399">
        <v>0</v>
      </c>
      <c r="EI628" s="399">
        <v>0</v>
      </c>
      <c r="EJ628" s="399">
        <v>0</v>
      </c>
      <c r="EK628" s="399">
        <v>0</v>
      </c>
      <c r="EL628" s="399">
        <v>0</v>
      </c>
      <c r="EM628" s="399"/>
      <c r="EN628" s="399"/>
      <c r="EO628" s="399">
        <v>0</v>
      </c>
      <c r="EP628" s="399">
        <v>0</v>
      </c>
      <c r="EQ628" s="399"/>
      <c r="ER628" s="399">
        <v>0</v>
      </c>
      <c r="ES628" s="399"/>
      <c r="ET628" s="399">
        <v>0</v>
      </c>
      <c r="EU628" s="399"/>
      <c r="EV628" s="399">
        <v>218</v>
      </c>
      <c r="EW628" s="399"/>
      <c r="EX628" s="399"/>
      <c r="EY628" s="399"/>
      <c r="EZ628" s="399"/>
      <c r="FA628" s="399">
        <v>0</v>
      </c>
      <c r="FB628" s="399"/>
      <c r="FC628" s="399"/>
      <c r="FD628" s="399"/>
      <c r="FE628" s="399"/>
      <c r="FF628" s="399">
        <v>0</v>
      </c>
      <c r="FG628" s="399">
        <v>0</v>
      </c>
      <c r="FH628" s="399">
        <v>0</v>
      </c>
      <c r="FI628" s="399">
        <v>0</v>
      </c>
    </row>
    <row r="629" spans="1:165">
      <c r="A629" s="399">
        <v>636</v>
      </c>
      <c r="B629" s="399" t="s">
        <v>956</v>
      </c>
      <c r="C629" s="399" t="s">
        <v>913</v>
      </c>
      <c r="D629" s="399" t="s">
        <v>533</v>
      </c>
      <c r="E629" s="399" t="s">
        <v>1239</v>
      </c>
      <c r="F629" s="399" t="s">
        <v>1239</v>
      </c>
      <c r="G629" s="399" t="s">
        <v>1239</v>
      </c>
      <c r="H629" s="399" t="s">
        <v>2399</v>
      </c>
      <c r="I629" s="399" t="s">
        <v>1239</v>
      </c>
      <c r="J629" s="399" t="s">
        <v>2400</v>
      </c>
      <c r="K629" s="789">
        <v>44774</v>
      </c>
      <c r="L629" s="399">
        <v>909</v>
      </c>
      <c r="M629" s="399">
        <v>454.5</v>
      </c>
      <c r="N629" s="399">
        <v>0</v>
      </c>
      <c r="O629" s="399">
        <v>0</v>
      </c>
      <c r="P629" s="399">
        <v>0</v>
      </c>
      <c r="Q629" s="399">
        <v>0</v>
      </c>
      <c r="R629" s="399">
        <v>5.93</v>
      </c>
      <c r="S629" s="399"/>
      <c r="T629" s="399"/>
      <c r="U629" s="399">
        <v>5390.37</v>
      </c>
      <c r="V629" s="399"/>
      <c r="W629" s="399">
        <v>5390.37</v>
      </c>
      <c r="X629" s="399">
        <v>3063.33</v>
      </c>
      <c r="Y629" s="399">
        <v>0</v>
      </c>
      <c r="Z629" s="399">
        <v>0</v>
      </c>
      <c r="AA629" s="399">
        <v>0</v>
      </c>
      <c r="AB629" s="399">
        <v>0</v>
      </c>
      <c r="AC629" s="399">
        <v>0</v>
      </c>
      <c r="AD629" s="399">
        <v>0</v>
      </c>
      <c r="AE629" s="399">
        <v>5383.3860598770952</v>
      </c>
      <c r="AF629" s="399"/>
      <c r="AG629" s="399"/>
      <c r="AH629" s="399"/>
      <c r="AI629" s="399">
        <v>0</v>
      </c>
      <c r="AJ629" s="399">
        <v>0</v>
      </c>
      <c r="AK629" s="399">
        <v>0</v>
      </c>
      <c r="AL629" s="399">
        <v>0</v>
      </c>
      <c r="AM629" s="399"/>
      <c r="AN629" s="399">
        <v>9.3380752975356991</v>
      </c>
      <c r="AO629" s="399">
        <v>0</v>
      </c>
      <c r="AP629" s="399">
        <v>0</v>
      </c>
      <c r="AQ629" s="399">
        <v>0</v>
      </c>
      <c r="AR629" s="399">
        <v>0</v>
      </c>
      <c r="AS629" s="399"/>
      <c r="AT629" s="399"/>
      <c r="AU629" s="399">
        <v>0</v>
      </c>
      <c r="AV629" s="399">
        <v>0</v>
      </c>
      <c r="AW629" s="399">
        <v>0</v>
      </c>
      <c r="AX629" s="399"/>
      <c r="AY629" s="399"/>
      <c r="AZ629" s="399">
        <v>0</v>
      </c>
      <c r="BA629" s="399"/>
      <c r="BB629" s="399">
        <v>0</v>
      </c>
      <c r="BC629" s="399">
        <v>0</v>
      </c>
      <c r="BD629" s="399">
        <v>0</v>
      </c>
      <c r="BE629" s="399">
        <v>0</v>
      </c>
      <c r="BF629" s="399"/>
      <c r="BG629" s="399">
        <v>0</v>
      </c>
      <c r="BH629" s="399">
        <v>0</v>
      </c>
      <c r="BI629" s="399">
        <v>116.05</v>
      </c>
      <c r="BJ629" s="399">
        <v>0</v>
      </c>
      <c r="BK629" s="399">
        <v>0</v>
      </c>
      <c r="BL629" s="399">
        <v>0</v>
      </c>
      <c r="BM629" s="399"/>
      <c r="BN629" s="399"/>
      <c r="BO629" s="399">
        <v>1531.665</v>
      </c>
      <c r="BP629" s="399"/>
      <c r="BQ629" s="399"/>
      <c r="BR629" s="399"/>
      <c r="BS629" s="399"/>
      <c r="BT629" s="399"/>
      <c r="BU629" s="399"/>
      <c r="BV629" s="399">
        <v>0</v>
      </c>
      <c r="BW629" s="399"/>
      <c r="BX629" s="399"/>
      <c r="BY629" s="399"/>
      <c r="BZ629" s="399"/>
      <c r="CA629" s="399"/>
      <c r="CB629" s="399"/>
      <c r="CC629" s="399"/>
      <c r="CD629" s="399"/>
      <c r="CE629" s="399"/>
      <c r="CF629" s="399"/>
      <c r="CG629" s="399"/>
      <c r="CH629" s="399"/>
      <c r="CI629" s="399">
        <v>1531.665</v>
      </c>
      <c r="CJ629" s="399">
        <v>-1163.5500000000006</v>
      </c>
      <c r="CK629" s="399"/>
      <c r="CL629" s="399"/>
      <c r="CM629" s="399"/>
      <c r="CN629" s="399"/>
      <c r="CO629" s="399">
        <v>-2327.0399999999995</v>
      </c>
      <c r="CP629" s="399">
        <v>0</v>
      </c>
      <c r="CQ629" s="399">
        <v>31</v>
      </c>
      <c r="CR629" s="399">
        <v>-0.37653836901269244</v>
      </c>
      <c r="CS629" s="399">
        <v>0</v>
      </c>
      <c r="CT629" s="399">
        <v>0</v>
      </c>
      <c r="CU629" s="399">
        <v>0</v>
      </c>
      <c r="CV629" s="399">
        <v>0</v>
      </c>
      <c r="CW629" s="399"/>
      <c r="CX629" s="399"/>
      <c r="CY629" s="399"/>
      <c r="CZ629" s="399">
        <v>0</v>
      </c>
      <c r="DA629" s="399">
        <v>0</v>
      </c>
      <c r="DB629" s="399">
        <v>0</v>
      </c>
      <c r="DC629" s="399"/>
      <c r="DD629" s="399"/>
      <c r="DE629" s="399">
        <v>0</v>
      </c>
      <c r="DF629" s="399">
        <v>0</v>
      </c>
      <c r="DG629" s="399">
        <v>0</v>
      </c>
      <c r="DH629" s="399">
        <v>0</v>
      </c>
      <c r="DI629" s="399">
        <v>0</v>
      </c>
      <c r="DJ629" s="399"/>
      <c r="DK629" s="399">
        <v>0</v>
      </c>
      <c r="DL629" s="399">
        <v>0</v>
      </c>
      <c r="DM629" s="399"/>
      <c r="DN629" s="399">
        <v>0</v>
      </c>
      <c r="DO629" s="399">
        <v>0</v>
      </c>
      <c r="DP629" s="399">
        <v>-0.37653836901269244</v>
      </c>
      <c r="DQ629" s="399">
        <v>0</v>
      </c>
      <c r="DR629" s="399">
        <v>0</v>
      </c>
      <c r="DS629" s="399"/>
      <c r="DT629" s="399"/>
      <c r="DU629" s="399">
        <v>5383.3860598770952</v>
      </c>
      <c r="DV629" s="399"/>
      <c r="DW629" s="399">
        <v>0</v>
      </c>
      <c r="DX629" s="399">
        <v>0</v>
      </c>
      <c r="DY629" s="399">
        <v>-2327.04</v>
      </c>
      <c r="DZ629" s="399"/>
      <c r="EA629" s="399">
        <v>0</v>
      </c>
      <c r="EB629" s="399"/>
      <c r="EC629" s="399">
        <v>-2325.727130080204</v>
      </c>
      <c r="ED629" s="399"/>
      <c r="EE629" s="399">
        <v>0</v>
      </c>
      <c r="EF629" s="399">
        <v>0</v>
      </c>
      <c r="EG629" s="399"/>
      <c r="EH629" s="399">
        <v>0</v>
      </c>
      <c r="EI629" s="399">
        <v>0</v>
      </c>
      <c r="EJ629" s="399">
        <v>0</v>
      </c>
      <c r="EK629" s="399">
        <v>0</v>
      </c>
      <c r="EL629" s="399">
        <v>0</v>
      </c>
      <c r="EM629" s="399"/>
      <c r="EN629" s="399"/>
      <c r="EO629" s="399">
        <v>0</v>
      </c>
      <c r="EP629" s="399">
        <v>0</v>
      </c>
      <c r="EQ629" s="399"/>
      <c r="ER629" s="399">
        <v>0</v>
      </c>
      <c r="ES629" s="399"/>
      <c r="ET629" s="399">
        <v>0</v>
      </c>
      <c r="EU629" s="399"/>
      <c r="EV629" s="399">
        <v>218</v>
      </c>
      <c r="EW629" s="399"/>
      <c r="EX629" s="399"/>
      <c r="EY629" s="399"/>
      <c r="EZ629" s="399"/>
      <c r="FA629" s="399">
        <v>0</v>
      </c>
      <c r="FB629" s="399"/>
      <c r="FC629" s="399"/>
      <c r="FD629" s="399"/>
      <c r="FE629" s="399"/>
      <c r="FF629" s="399">
        <v>0</v>
      </c>
      <c r="FG629" s="399">
        <v>0</v>
      </c>
      <c r="FH629" s="399">
        <v>0</v>
      </c>
      <c r="FI629" s="399">
        <v>0</v>
      </c>
    </row>
    <row r="630" spans="1:165">
      <c r="K630" s="261"/>
      <c r="L630" s="261"/>
      <c r="M630" s="261"/>
      <c r="N630" s="261"/>
      <c r="O630" s="261"/>
      <c r="P630" s="261"/>
      <c r="Q630" s="261"/>
      <c r="BR630" s="261"/>
      <c r="BS630" s="261"/>
      <c r="BT630" s="261"/>
      <c r="BU630" s="261"/>
      <c r="BV630" s="261"/>
      <c r="CJ630" s="261"/>
      <c r="CO630" s="261"/>
      <c r="CP630" s="261"/>
      <c r="CQ630" s="261"/>
      <c r="CR630" s="261"/>
      <c r="CS630" s="261"/>
      <c r="CT630" s="261"/>
      <c r="CU630" s="261"/>
      <c r="CV630" s="261"/>
      <c r="CW630" s="261"/>
      <c r="CX630" s="261"/>
      <c r="CY630" s="261"/>
      <c r="CZ630" s="261"/>
      <c r="DA630" s="261"/>
      <c r="DB630" s="261"/>
      <c r="DC630" s="261"/>
      <c r="DD630" s="261"/>
      <c r="DE630" s="261"/>
      <c r="DF630" s="261"/>
      <c r="DG630" s="261"/>
      <c r="DH630" s="261"/>
      <c r="DI630" s="261"/>
      <c r="DJ630" s="261"/>
      <c r="DK630" s="261"/>
      <c r="DL630" s="261"/>
      <c r="DM630" s="261"/>
      <c r="DN630" s="261"/>
      <c r="DO630" s="261"/>
      <c r="DP630" s="261"/>
      <c r="DQ630" s="261"/>
      <c r="DR630" s="261"/>
      <c r="DS630" s="261"/>
      <c r="DY630" s="261"/>
      <c r="EC630" s="261"/>
      <c r="EP630" s="261"/>
    </row>
    <row r="631" spans="1:165">
      <c r="K631" s="261"/>
      <c r="L631" s="261"/>
      <c r="M631" s="261"/>
      <c r="N631" s="261"/>
      <c r="O631" s="261"/>
      <c r="P631" s="261"/>
      <c r="Q631" s="261"/>
      <c r="BR631" s="261"/>
      <c r="BS631" s="261"/>
      <c r="BT631" s="261"/>
      <c r="BU631" s="261"/>
      <c r="BV631" s="261"/>
      <c r="CJ631" s="261"/>
      <c r="CO631" s="261"/>
      <c r="CP631" s="261"/>
      <c r="CQ631" s="261"/>
      <c r="CR631" s="261"/>
      <c r="CS631" s="261"/>
      <c r="CT631" s="261"/>
      <c r="CU631" s="261"/>
      <c r="CV631" s="261"/>
      <c r="CW631" s="261"/>
      <c r="CX631" s="261"/>
      <c r="CY631" s="261"/>
      <c r="CZ631" s="261"/>
      <c r="DA631" s="261"/>
      <c r="DB631" s="261"/>
      <c r="DC631" s="261"/>
      <c r="DD631" s="261"/>
      <c r="DE631" s="261"/>
      <c r="DF631" s="261"/>
      <c r="DG631" s="261"/>
      <c r="DH631" s="261"/>
      <c r="DI631" s="261"/>
      <c r="DJ631" s="261"/>
      <c r="DK631" s="261"/>
      <c r="DL631" s="261"/>
      <c r="DM631" s="261"/>
      <c r="DN631" s="261"/>
      <c r="DO631" s="261"/>
      <c r="DP631" s="261"/>
      <c r="DQ631" s="261"/>
      <c r="DR631" s="261"/>
      <c r="DS631" s="261"/>
      <c r="DY631" s="261"/>
      <c r="EC631" s="261"/>
      <c r="EP631" s="261"/>
    </row>
    <row r="632" spans="1:165">
      <c r="K632" s="261"/>
      <c r="L632" s="261"/>
      <c r="M632" s="261"/>
      <c r="N632" s="261"/>
      <c r="O632" s="261"/>
      <c r="P632" s="261"/>
      <c r="Q632" s="261"/>
      <c r="BR632" s="261"/>
      <c r="BS632" s="261"/>
      <c r="BT632" s="261"/>
      <c r="BU632" s="261"/>
      <c r="BV632" s="261"/>
      <c r="CJ632" s="261"/>
      <c r="CO632" s="261"/>
      <c r="CP632" s="261"/>
      <c r="CQ632" s="261"/>
      <c r="CR632" s="261"/>
      <c r="CS632" s="261"/>
      <c r="CT632" s="261"/>
      <c r="CU632" s="261"/>
      <c r="CV632" s="261"/>
      <c r="CW632" s="261"/>
      <c r="CX632" s="261"/>
      <c r="CY632" s="261"/>
      <c r="CZ632" s="261"/>
      <c r="DA632" s="261"/>
      <c r="DB632" s="261"/>
      <c r="DC632" s="261"/>
      <c r="DD632" s="261"/>
      <c r="DE632" s="261"/>
      <c r="DF632" s="261"/>
      <c r="DG632" s="261"/>
      <c r="DH632" s="261"/>
      <c r="DI632" s="261"/>
      <c r="DJ632" s="261"/>
      <c r="DK632" s="261"/>
      <c r="DL632" s="261"/>
      <c r="DM632" s="261"/>
      <c r="DN632" s="261"/>
      <c r="DO632" s="261"/>
      <c r="DP632" s="261"/>
      <c r="DQ632" s="261"/>
      <c r="DR632" s="261"/>
      <c r="DS632" s="261"/>
      <c r="DY632" s="261"/>
      <c r="EC632" s="261"/>
      <c r="EP632" s="261"/>
    </row>
    <row r="633" spans="1:165">
      <c r="K633" s="261"/>
      <c r="L633" s="261"/>
      <c r="M633" s="261"/>
      <c r="N633" s="261"/>
      <c r="O633" s="261"/>
      <c r="P633" s="261"/>
      <c r="Q633" s="261"/>
      <c r="BR633" s="261"/>
      <c r="BS633" s="261"/>
      <c r="BT633" s="261"/>
      <c r="BU633" s="261"/>
      <c r="BV633" s="261"/>
      <c r="CJ633" s="261"/>
      <c r="CO633" s="261"/>
      <c r="CP633" s="261"/>
      <c r="CQ633" s="261"/>
      <c r="CR633" s="261"/>
      <c r="CS633" s="261"/>
      <c r="CT633" s="261"/>
      <c r="CU633" s="261"/>
      <c r="CV633" s="261"/>
      <c r="CW633" s="261"/>
      <c r="CX633" s="261"/>
      <c r="CY633" s="261"/>
      <c r="CZ633" s="261"/>
      <c r="DA633" s="261"/>
      <c r="DB633" s="261"/>
      <c r="DC633" s="261"/>
      <c r="DD633" s="261"/>
      <c r="DE633" s="261"/>
      <c r="DF633" s="261"/>
      <c r="DG633" s="261"/>
      <c r="DH633" s="261"/>
      <c r="DI633" s="261"/>
      <c r="DJ633" s="261"/>
      <c r="DK633" s="261"/>
      <c r="DL633" s="261"/>
      <c r="DM633" s="261"/>
      <c r="DN633" s="261"/>
      <c r="DO633" s="261"/>
      <c r="DP633" s="261"/>
      <c r="DQ633" s="261"/>
      <c r="DR633" s="261"/>
      <c r="DS633" s="261"/>
      <c r="DY633" s="261"/>
      <c r="EC633" s="261"/>
      <c r="EP633" s="261"/>
    </row>
    <row r="634" spans="1:165">
      <c r="K634" s="261"/>
      <c r="L634" s="261"/>
      <c r="M634" s="261"/>
      <c r="N634" s="261"/>
      <c r="O634" s="261"/>
      <c r="P634" s="261"/>
      <c r="Q634" s="261"/>
      <c r="BR634" s="261"/>
      <c r="BS634" s="261"/>
      <c r="BT634" s="261"/>
      <c r="BU634" s="261"/>
      <c r="BV634" s="261"/>
      <c r="CJ634" s="261"/>
      <c r="CO634" s="261"/>
      <c r="CP634" s="261"/>
      <c r="CQ634" s="261"/>
      <c r="CR634" s="261"/>
      <c r="CS634" s="261"/>
      <c r="CT634" s="261"/>
      <c r="CU634" s="261"/>
      <c r="CV634" s="261"/>
      <c r="CW634" s="261"/>
      <c r="CX634" s="261"/>
      <c r="CY634" s="261"/>
      <c r="CZ634" s="261"/>
      <c r="DA634" s="261"/>
      <c r="DB634" s="261"/>
      <c r="DC634" s="261"/>
      <c r="DD634" s="261"/>
      <c r="DE634" s="261"/>
      <c r="DF634" s="261"/>
      <c r="DG634" s="261"/>
      <c r="DH634" s="261"/>
      <c r="DI634" s="261"/>
      <c r="DJ634" s="261"/>
      <c r="DK634" s="261"/>
      <c r="DL634" s="261"/>
      <c r="DM634" s="261"/>
      <c r="DN634" s="261"/>
      <c r="DO634" s="261"/>
      <c r="DP634" s="261"/>
      <c r="DQ634" s="261"/>
      <c r="DR634" s="261"/>
      <c r="DS634" s="261"/>
      <c r="DY634" s="261"/>
      <c r="EC634" s="261"/>
      <c r="EP634" s="261"/>
    </row>
    <row r="635" spans="1:165">
      <c r="K635" s="261"/>
      <c r="L635" s="261"/>
      <c r="M635" s="261"/>
      <c r="N635" s="261"/>
      <c r="O635" s="261"/>
      <c r="P635" s="261"/>
      <c r="Q635" s="261"/>
      <c r="BR635" s="261"/>
      <c r="BS635" s="261"/>
      <c r="BT635" s="261"/>
      <c r="BU635" s="261"/>
      <c r="BV635" s="261"/>
      <c r="CJ635" s="261"/>
      <c r="CO635" s="261"/>
      <c r="CP635" s="261"/>
      <c r="CQ635" s="261"/>
      <c r="CR635" s="261"/>
      <c r="CS635" s="261"/>
      <c r="CT635" s="261"/>
      <c r="CU635" s="261"/>
      <c r="CV635" s="261"/>
      <c r="CW635" s="261"/>
      <c r="CX635" s="261"/>
      <c r="CY635" s="261"/>
      <c r="CZ635" s="261"/>
      <c r="DA635" s="261"/>
      <c r="DB635" s="261"/>
      <c r="DC635" s="261"/>
      <c r="DD635" s="261"/>
      <c r="DE635" s="261"/>
      <c r="DF635" s="261"/>
      <c r="DG635" s="261"/>
      <c r="DH635" s="261"/>
      <c r="DI635" s="261"/>
      <c r="DJ635" s="261"/>
      <c r="DK635" s="261"/>
      <c r="DL635" s="261"/>
      <c r="DM635" s="261"/>
      <c r="DN635" s="261"/>
      <c r="DO635" s="261"/>
      <c r="DP635" s="261"/>
      <c r="DQ635" s="261"/>
      <c r="DR635" s="261"/>
      <c r="DS635" s="261"/>
      <c r="DY635" s="261"/>
      <c r="EC635" s="261"/>
      <c r="EP635" s="261"/>
    </row>
    <row r="636" spans="1:165">
      <c r="K636" s="261"/>
      <c r="L636" s="261"/>
      <c r="M636" s="261"/>
      <c r="N636" s="261"/>
      <c r="O636" s="261"/>
      <c r="P636" s="261"/>
      <c r="Q636" s="261"/>
      <c r="BR636" s="261"/>
      <c r="BS636" s="261"/>
      <c r="BT636" s="261"/>
      <c r="BU636" s="261"/>
      <c r="BV636" s="261"/>
      <c r="CJ636" s="261"/>
      <c r="CO636" s="261"/>
      <c r="CP636" s="261"/>
      <c r="CQ636" s="261"/>
      <c r="CR636" s="261"/>
      <c r="CS636" s="261"/>
      <c r="CT636" s="261"/>
      <c r="CU636" s="261"/>
      <c r="CV636" s="261"/>
      <c r="CW636" s="261"/>
      <c r="CX636" s="261"/>
      <c r="CY636" s="261"/>
      <c r="CZ636" s="261"/>
      <c r="DA636" s="261"/>
      <c r="DB636" s="261"/>
      <c r="DC636" s="261"/>
      <c r="DD636" s="261"/>
      <c r="DE636" s="261"/>
      <c r="DF636" s="261"/>
      <c r="DG636" s="261"/>
      <c r="DH636" s="261"/>
      <c r="DI636" s="261"/>
      <c r="DJ636" s="261"/>
      <c r="DK636" s="261"/>
      <c r="DL636" s="261"/>
      <c r="DM636" s="261"/>
      <c r="DN636" s="261"/>
      <c r="DO636" s="261"/>
      <c r="DP636" s="261"/>
      <c r="DQ636" s="261"/>
      <c r="DR636" s="261"/>
      <c r="DS636" s="261"/>
      <c r="DY636" s="261"/>
      <c r="EC636" s="261"/>
      <c r="EP636" s="261"/>
    </row>
    <row r="637" spans="1:165">
      <c r="K637" s="261"/>
      <c r="L637" s="261"/>
      <c r="M637" s="261"/>
      <c r="N637" s="261"/>
      <c r="O637" s="261"/>
      <c r="P637" s="261"/>
      <c r="Q637" s="261"/>
      <c r="BR637" s="261"/>
      <c r="BS637" s="261"/>
      <c r="BT637" s="261"/>
      <c r="BU637" s="261"/>
      <c r="BV637" s="261"/>
      <c r="CJ637" s="261"/>
      <c r="CO637" s="261"/>
      <c r="CP637" s="261"/>
      <c r="CQ637" s="261"/>
      <c r="CR637" s="261"/>
      <c r="CS637" s="261"/>
      <c r="CT637" s="261"/>
      <c r="CU637" s="261"/>
      <c r="CV637" s="261"/>
      <c r="CW637" s="261"/>
      <c r="CX637" s="261"/>
      <c r="CY637" s="261"/>
      <c r="CZ637" s="261"/>
      <c r="DA637" s="261"/>
      <c r="DB637" s="261"/>
      <c r="DC637" s="261"/>
      <c r="DD637" s="261"/>
      <c r="DE637" s="261"/>
      <c r="DF637" s="261"/>
      <c r="DG637" s="261"/>
      <c r="DH637" s="261"/>
      <c r="DI637" s="261"/>
      <c r="DJ637" s="261"/>
      <c r="DK637" s="261"/>
      <c r="DL637" s="261"/>
      <c r="DM637" s="261"/>
      <c r="DN637" s="261"/>
      <c r="DO637" s="261"/>
      <c r="DP637" s="261"/>
      <c r="DQ637" s="261"/>
      <c r="DR637" s="261"/>
      <c r="DS637" s="261"/>
      <c r="DY637" s="261"/>
      <c r="EC637" s="261"/>
      <c r="EP637" s="261"/>
    </row>
    <row r="638" spans="1:165">
      <c r="K638" s="261"/>
      <c r="L638" s="261"/>
      <c r="M638" s="261"/>
      <c r="N638" s="261"/>
      <c r="O638" s="261"/>
      <c r="P638" s="261"/>
      <c r="Q638" s="261"/>
      <c r="BR638" s="261"/>
      <c r="BS638" s="261"/>
      <c r="BT638" s="261"/>
      <c r="BU638" s="261"/>
      <c r="BV638" s="261"/>
      <c r="CJ638" s="261"/>
      <c r="CO638" s="261"/>
      <c r="CP638" s="261"/>
      <c r="CQ638" s="261"/>
      <c r="CR638" s="261"/>
      <c r="CS638" s="261"/>
      <c r="CT638" s="261"/>
      <c r="CU638" s="261"/>
      <c r="CV638" s="261"/>
      <c r="CW638" s="261"/>
      <c r="CX638" s="261"/>
      <c r="CY638" s="261"/>
      <c r="CZ638" s="261"/>
      <c r="DA638" s="261"/>
      <c r="DB638" s="261"/>
      <c r="DC638" s="261"/>
      <c r="DD638" s="261"/>
      <c r="DE638" s="261"/>
      <c r="DF638" s="261"/>
      <c r="DG638" s="261"/>
      <c r="DH638" s="261"/>
      <c r="DI638" s="261"/>
      <c r="DJ638" s="261"/>
      <c r="DK638" s="261"/>
      <c r="DL638" s="261"/>
      <c r="DM638" s="261"/>
      <c r="DN638" s="261"/>
      <c r="DO638" s="261"/>
      <c r="DP638" s="261"/>
      <c r="DQ638" s="261"/>
      <c r="DR638" s="261"/>
      <c r="DS638" s="261"/>
      <c r="DY638" s="261"/>
      <c r="EC638" s="261"/>
      <c r="EP638" s="261"/>
    </row>
    <row r="639" spans="1:165">
      <c r="K639" s="261"/>
      <c r="L639" s="261"/>
      <c r="M639" s="261"/>
      <c r="N639" s="261"/>
      <c r="O639" s="261"/>
      <c r="P639" s="261"/>
      <c r="Q639" s="261"/>
      <c r="BR639" s="261"/>
      <c r="BS639" s="261"/>
      <c r="BT639" s="261"/>
      <c r="BU639" s="261"/>
      <c r="BV639" s="261"/>
      <c r="CJ639" s="261"/>
      <c r="CO639" s="261"/>
      <c r="CP639" s="261"/>
      <c r="CQ639" s="261"/>
      <c r="CR639" s="261"/>
      <c r="CS639" s="261"/>
      <c r="CT639" s="261"/>
      <c r="CU639" s="261"/>
      <c r="CV639" s="261"/>
      <c r="CW639" s="261"/>
      <c r="CX639" s="261"/>
      <c r="CY639" s="261"/>
      <c r="CZ639" s="261"/>
      <c r="DA639" s="261"/>
      <c r="DB639" s="261"/>
      <c r="DC639" s="261"/>
      <c r="DD639" s="261"/>
      <c r="DE639" s="261"/>
      <c r="DF639" s="261"/>
      <c r="DG639" s="261"/>
      <c r="DH639" s="261"/>
      <c r="DI639" s="261"/>
      <c r="DJ639" s="261"/>
      <c r="DK639" s="261"/>
      <c r="DL639" s="261"/>
      <c r="DM639" s="261"/>
      <c r="DN639" s="261"/>
      <c r="DO639" s="261"/>
      <c r="DP639" s="261"/>
      <c r="DQ639" s="261"/>
      <c r="DR639" s="261"/>
      <c r="DS639" s="261"/>
      <c r="DY639" s="261"/>
      <c r="EC639" s="261"/>
      <c r="EP639" s="261"/>
    </row>
    <row r="640" spans="1:165">
      <c r="K640" s="261"/>
      <c r="L640" s="261"/>
      <c r="M640" s="261"/>
      <c r="N640" s="261"/>
      <c r="O640" s="261"/>
      <c r="P640" s="261"/>
      <c r="Q640" s="261"/>
      <c r="BR640" s="261"/>
      <c r="BS640" s="261"/>
      <c r="BT640" s="261"/>
      <c r="BU640" s="261"/>
      <c r="BV640" s="261"/>
      <c r="CJ640" s="261"/>
      <c r="CO640" s="261"/>
      <c r="CP640" s="261"/>
      <c r="CQ640" s="261"/>
      <c r="CR640" s="261"/>
      <c r="CS640" s="261"/>
      <c r="CT640" s="261"/>
      <c r="CU640" s="261"/>
      <c r="CV640" s="261"/>
      <c r="CW640" s="261"/>
      <c r="CX640" s="261"/>
      <c r="CY640" s="261"/>
      <c r="CZ640" s="261"/>
      <c r="DA640" s="261"/>
      <c r="DB640" s="261"/>
      <c r="DC640" s="261"/>
      <c r="DD640" s="261"/>
      <c r="DE640" s="261"/>
      <c r="DF640" s="261"/>
      <c r="DG640" s="261"/>
      <c r="DH640" s="261"/>
      <c r="DI640" s="261"/>
      <c r="DJ640" s="261"/>
      <c r="DK640" s="261"/>
      <c r="DL640" s="261"/>
      <c r="DM640" s="261"/>
      <c r="DN640" s="261"/>
      <c r="DO640" s="261"/>
      <c r="DP640" s="261"/>
      <c r="DQ640" s="261"/>
      <c r="DR640" s="261"/>
      <c r="DS640" s="261"/>
      <c r="DY640" s="261"/>
      <c r="EC640" s="261"/>
      <c r="EP640" s="261"/>
    </row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zoomScaleNormal="100" workbookViewId="0">
      <selection activeCell="F28" sqref="F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1080</v>
      </c>
      <c r="C1" s="1021"/>
      <c r="D1" s="933"/>
      <c r="E1" s="933"/>
      <c r="F1" s="1131" t="s">
        <v>873</v>
      </c>
      <c r="G1" s="1132">
        <f ca="1">LnkTXTIRTEco</f>
        <v>7.1900000000000006E-2</v>
      </c>
    </row>
    <row r="2" spans="2:19" ht="23.25" customHeight="1">
      <c r="B2" s="136" t="str">
        <f>CAPA!C9</f>
        <v>Ceraçá</v>
      </c>
      <c r="C2" s="70"/>
      <c r="D2" s="70"/>
      <c r="E2" s="70"/>
      <c r="F2" s="120" t="s">
        <v>877</v>
      </c>
      <c r="G2" s="121">
        <f ca="1">LnkTXTIRTTotal</f>
        <v>-0.1532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9" t="s">
        <v>778</v>
      </c>
      <c r="C4" s="1179" t="s">
        <v>695</v>
      </c>
      <c r="D4" s="1179" t="s">
        <v>696</v>
      </c>
      <c r="G4" s="68"/>
      <c r="H4" s="124"/>
      <c r="K4" s="1179" t="s">
        <v>895</v>
      </c>
      <c r="L4" s="1179" t="s">
        <v>695</v>
      </c>
      <c r="M4" s="1179" t="s">
        <v>898</v>
      </c>
      <c r="P4" s="68" t="s">
        <v>1083</v>
      </c>
    </row>
    <row r="5" spans="2:19">
      <c r="B5" s="1180" t="s">
        <v>1084</v>
      </c>
      <c r="C5" s="1181">
        <f ca="1">C6+C9</f>
        <v>100748.77006046042</v>
      </c>
      <c r="D5" s="1181">
        <f ca="1">SUM(D6,D9)</f>
        <v>101628.07300000003</v>
      </c>
      <c r="G5" s="68"/>
      <c r="K5" s="68" t="s">
        <v>781</v>
      </c>
      <c r="L5" s="92">
        <f ca="1">M5</f>
        <v>91552.993000000031</v>
      </c>
      <c r="M5" s="139">
        <f ca="1">FornecimentoE</f>
        <v>91552.993000000031</v>
      </c>
      <c r="P5" s="68" t="s">
        <v>1085</v>
      </c>
    </row>
    <row r="6" spans="2:19">
      <c r="B6" s="1182" t="s">
        <v>1086</v>
      </c>
      <c r="C6" s="1183">
        <f ca="1">LnkTXTEV</f>
        <v>91552.993000000031</v>
      </c>
      <c r="D6" s="1183">
        <f ca="1">SUM(D7:D8)</f>
        <v>91552.993000000031</v>
      </c>
      <c r="F6" s="1454">
        <f ca="1">C24/LnkTXTEV-1</f>
        <v>0.11004642961262889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91552.993000000031</v>
      </c>
      <c r="D7" s="144">
        <f ca="1">M5</f>
        <v>91552.993000000031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2" t="s">
        <v>1091</v>
      </c>
      <c r="C9" s="1183">
        <f ca="1">SUM(C10:C13)</f>
        <v>9195.777060460392</v>
      </c>
      <c r="D9" s="1183">
        <f ca="1">SUM(D10:D13)</f>
        <v>10075.080000000002</v>
      </c>
      <c r="G9" s="68"/>
      <c r="K9" s="785" t="s">
        <v>1092</v>
      </c>
      <c r="L9" s="1559">
        <f t="shared" ca="1" si="0"/>
        <v>59476.884000000013</v>
      </c>
      <c r="M9" s="1184">
        <f ca="1">FornecimentoE_BT</f>
        <v>59476.884000000013</v>
      </c>
      <c r="P9" s="68" t="s">
        <v>1093</v>
      </c>
    </row>
    <row r="10" spans="2:19">
      <c r="B10" s="1191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9195.777060460392</v>
      </c>
      <c r="D11" s="144">
        <f ca="1">N17</f>
        <v>10075.080000000002</v>
      </c>
      <c r="G11" s="68"/>
      <c r="K11" s="71" t="s">
        <v>1095</v>
      </c>
      <c r="L11" s="71"/>
      <c r="M11" s="125"/>
      <c r="P11" s="68" t="s">
        <v>1096</v>
      </c>
      <c r="Q11" s="491">
        <f ca="1">M20/(D6+M20)</f>
        <v>9.913678083810562E-2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5" t="s">
        <v>1098</v>
      </c>
      <c r="N12" s="1186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1">
        <f ca="1">IF(Q11&lt;Q12,Q11,(IF(Q11=0,0,Q11*0.75+Q12*0.25)))</f>
        <v>9.913678083810562E-2</v>
      </c>
      <c r="R13" s="69">
        <f ca="1">($M$5+$M$6-$M$8)*Q13/(1-Q13)</f>
        <v>10075.080000000002</v>
      </c>
    </row>
    <row r="14" spans="2:19">
      <c r="B14" s="1187" t="s">
        <v>1100</v>
      </c>
      <c r="C14" s="1188">
        <f>VLOOKUP("custo Médio",DRA_CM_Perdas[#All],3,FALSE)</f>
        <v>140.385851708318</v>
      </c>
      <c r="D14" s="1188">
        <f ca="1">IFERROR(E24,0)</f>
        <v>127.8358053062513</v>
      </c>
      <c r="E14" s="127"/>
      <c r="F14" s="127"/>
      <c r="G14" s="127"/>
      <c r="K14" s="68" t="s">
        <v>1104</v>
      </c>
      <c r="L14" s="393">
        <f>VLOOKUP("PERDAS TÉCNICAS",DRA_CM_Perdas[#All],3,FALSE)</f>
        <v>9.1274335705953599E-2</v>
      </c>
      <c r="M14" s="393">
        <f>IF(CAPA!H29=0,CAPA!K34,CAPA!H29)</f>
        <v>0.10948969803697256</v>
      </c>
      <c r="N14" s="393">
        <f ca="1">IFERROR(N17/((M5+M6-M8+N16)+N17),0)</f>
        <v>9.913678083810562E-2</v>
      </c>
      <c r="P14" s="68" t="s">
        <v>1105</v>
      </c>
      <c r="Q14" s="491">
        <f ca="1">(M17+M16)/(M16+M17+M5+M6)</f>
        <v>0.10948969803697257</v>
      </c>
      <c r="R14" s="69">
        <f ca="1">IF(CAPA!H33="",(M5+M6-M8)/(1-M14)*M14,CAPA!H33)+IF(CAPA!H34="",M13*M9,CAPA!H34)</f>
        <v>11256.590222318677</v>
      </c>
    </row>
    <row r="15" spans="2:19">
      <c r="B15" s="1189" t="s">
        <v>1103</v>
      </c>
      <c r="C15" s="1190">
        <f ca="1">C14*C5</f>
        <v>14143701.893503224</v>
      </c>
      <c r="D15" s="1190">
        <f ca="1">D14*D5</f>
        <v>12991706.553677499</v>
      </c>
      <c r="E15" s="79"/>
      <c r="F15" s="72"/>
      <c r="G15" s="126"/>
      <c r="K15" s="785" t="s">
        <v>1106</v>
      </c>
      <c r="L15" s="1735">
        <f>VLOOKUP("PERDAS NA RB (sobre as perdas na D)",DRA_CM_Perdas[#All],3,FALSE)</f>
        <v>0</v>
      </c>
      <c r="M15" s="1455">
        <f>IF(CAPA!H31=0,0,CAPA!H31)</f>
        <v>0</v>
      </c>
      <c r="N15" s="1560">
        <f ca="1">IFERROR(M22/(M5+M6+M23+N17+N16),0)</f>
        <v>0</v>
      </c>
      <c r="P15" s="68" t="s">
        <v>1107</v>
      </c>
      <c r="Q15" s="79">
        <f ca="1">IF(Q14&lt;Q13,Q14,Q13)</f>
        <v>9.913678083810562E-2</v>
      </c>
      <c r="R15" s="69">
        <f ca="1">IF(R14&lt;R13,R14,R13)</f>
        <v>10075.080000000002</v>
      </c>
      <c r="S15" s="79">
        <f ca="1">R15/(M5+R15)</f>
        <v>9.913678083810562E-2</v>
      </c>
    </row>
    <row r="16" spans="2:19">
      <c r="K16" s="1191" t="s">
        <v>1109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9.913678083810562E-2</v>
      </c>
      <c r="R16" s="69">
        <f ca="1">($M$5+$M$6-$M$8+R15)*Q16</f>
        <v>10075.080000000002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9195.777060460392</v>
      </c>
      <c r="M17" s="139">
        <f ca="1">IF(CAPA!H33="",(M5+M6-M8+M16)/(1-M14)*M14,CAPA!H33)</f>
        <v>11256.590222318677</v>
      </c>
      <c r="N17" s="465">
        <f ca="1">IF($M$21&lt;$M$20,M17,($M$20/$M$21)*M17)+M23</f>
        <v>10075.080000000002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9" t="s">
        <v>1111</v>
      </c>
      <c r="C18" s="1179" t="s">
        <v>1112</v>
      </c>
      <c r="D18" s="1179"/>
      <c r="E18" s="1179" t="s">
        <v>1113</v>
      </c>
      <c r="F18" s="1179" t="s">
        <v>1114</v>
      </c>
      <c r="G18" s="762"/>
      <c r="H18" s="764"/>
      <c r="I18" s="132"/>
      <c r="K18" s="139" t="s">
        <v>1094</v>
      </c>
      <c r="L18" s="465">
        <f ca="1">SUM(L16:L17)*L15</f>
        <v>0</v>
      </c>
      <c r="M18" s="465"/>
      <c r="N18" s="1481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1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3"/>
      <c r="H19" s="764"/>
      <c r="K19" s="1184" t="s">
        <v>1097</v>
      </c>
      <c r="L19" s="1456">
        <f ca="1">(L5+L6)*L15</f>
        <v>0</v>
      </c>
      <c r="M19" s="1456"/>
      <c r="N19" s="1482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1635.6737817539956</v>
      </c>
      <c r="D20" s="88"/>
      <c r="E20" s="88">
        <v>0</v>
      </c>
      <c r="F20" s="77">
        <v>0</v>
      </c>
      <c r="G20" s="763"/>
      <c r="H20" s="764"/>
      <c r="J20" s="132"/>
      <c r="K20" s="139" t="s">
        <v>1118</v>
      </c>
      <c r="L20" s="139"/>
      <c r="M20" s="139">
        <f>'Perdas de Energia'!I18</f>
        <v>10075.080000000002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3"/>
      <c r="H21" s="764"/>
      <c r="K21" s="1184" t="s">
        <v>1119</v>
      </c>
      <c r="L21" s="1184"/>
      <c r="M21" s="1184">
        <f ca="1">M16+M17</f>
        <v>11256.590222318677</v>
      </c>
      <c r="N21" s="1456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3"/>
      <c r="H22" s="764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99992.399218246035</v>
      </c>
      <c r="D23" s="88"/>
      <c r="E23" s="88">
        <f ca="1">IF(K60=0,H35,(N48+N60)/(M48+M60))</f>
        <v>129.926941</v>
      </c>
      <c r="F23" s="77">
        <f ca="1">E23*C23</f>
        <v>12991706.553677499</v>
      </c>
      <c r="G23" s="763"/>
      <c r="H23" s="764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92" t="s">
        <v>1121</v>
      </c>
      <c r="C24" s="1193">
        <f ca="1">SUM(C19:C23)</f>
        <v>101628.07300000003</v>
      </c>
      <c r="D24" s="1194"/>
      <c r="E24" s="1194">
        <f ca="1">IF(SUM(C19:C23)=0,0,SUM(F19:F23)/SUM(C19:C23))</f>
        <v>127.8358053062513</v>
      </c>
      <c r="F24" s="1195">
        <f ca="1">SUM(F19:F23)</f>
        <v>12991706.553677499</v>
      </c>
      <c r="G24" s="763"/>
      <c r="H24" s="808"/>
      <c r="J24" s="72"/>
      <c r="K24" s="1581"/>
      <c r="L24" s="1581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2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875</v>
      </c>
      <c r="D27" s="1197" t="s">
        <v>1122</v>
      </c>
      <c r="E27" s="1197" t="s">
        <v>898</v>
      </c>
      <c r="F27" s="1197" t="s">
        <v>1123</v>
      </c>
      <c r="G27" s="1198" t="s">
        <v>1124</v>
      </c>
      <c r="H27" s="1198" t="s">
        <v>1125</v>
      </c>
      <c r="I27" s="1198" t="s">
        <v>1126</v>
      </c>
      <c r="K27" s="128"/>
      <c r="L27" s="1583"/>
      <c r="M27" s="100"/>
      <c r="N27" s="100"/>
    </row>
    <row r="28" spans="1:22">
      <c r="A28" s="74">
        <v>5697</v>
      </c>
      <c r="B28" s="511" t="s">
        <v>2201</v>
      </c>
      <c r="C28" s="511" t="s">
        <v>2359</v>
      </c>
      <c r="D28" s="511">
        <f>IF(B28="","",SUMIFS(Faturas!V:V,Faturas!U:U,"Consumo*",Faturas!S:S,Energia!C28,Faturas!R:R,Energia!B28))</f>
        <v>99919989</v>
      </c>
      <c r="E28" s="511">
        <f t="shared" ref="E28:E34" si="1">IF(B28="","",D28/1000)</f>
        <v>99919.989000000001</v>
      </c>
      <c r="F28" s="599">
        <f>I28</f>
        <v>0.54410000000000003</v>
      </c>
      <c r="G28" s="512">
        <f>IFERROR(VLOOKUP(CONCATENATE(A28,A78),BD!$H$43:$S$59,12,FALSE),"")</f>
        <v>284.99</v>
      </c>
      <c r="H28" s="512">
        <f t="shared" ref="H28:H34" si="2">IF(B28="","",IFERROR(G28*(1-F28),0))</f>
        <v>129.926941</v>
      </c>
      <c r="I28" s="510">
        <f>SUMIFS(DescontoEnergia[Desconto],DescontoEnergia[idSupridora],Energia!A28,DescontoEnergia[Nível],Energia!C28)</f>
        <v>0.54410000000000003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1"/>
      <c r="C29" s="511"/>
      <c r="D29" s="511" t="str">
        <f>IF(B29="","",SUMIFS(Faturas!V:V,Faturas!U:U,"Consumo*",Faturas!S:S,Energia!C29,Faturas!R:R,Energia!B29))</f>
        <v/>
      </c>
      <c r="E29" s="511" t="str">
        <f t="shared" si="1"/>
        <v/>
      </c>
      <c r="F29" s="599">
        <f t="shared" ref="F29:F32" si="3">I29</f>
        <v>0</v>
      </c>
      <c r="G29" s="512" t="str">
        <f>IFERROR(VLOOKUP(CONCATENATE(A29,A79),BD!$H$43:$S$59,12,FALSE),"")</f>
        <v/>
      </c>
      <c r="H29" s="512" t="str">
        <f t="shared" si="2"/>
        <v/>
      </c>
      <c r="I29" s="510">
        <f>SUMIFS(DescontoEnergia[Desconto],DescontoEnergia[idSupridora],Energia!A29,DescontoEnergia[Nível],Energia!C29)</f>
        <v>0</v>
      </c>
      <c r="K29" s="1199" t="s">
        <v>22</v>
      </c>
      <c r="L29" s="1200" t="s">
        <v>1128</v>
      </c>
      <c r="M29" s="1200" t="s">
        <v>1129</v>
      </c>
      <c r="N29" s="1201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2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1"/>
      <c r="C30" s="511"/>
      <c r="D30" s="511" t="str">
        <f>IF(B30="","",SUMIFS(Faturas!V:V,Faturas!U:U,"Consumo*",Faturas!S:S,Energia!C30,Faturas!R:R,Energia!B30))</f>
        <v/>
      </c>
      <c r="E30" s="511" t="str">
        <f t="shared" si="1"/>
        <v/>
      </c>
      <c r="F30" s="599">
        <f t="shared" si="3"/>
        <v>0</v>
      </c>
      <c r="G30" s="512" t="str">
        <f>IFERROR(VLOOKUP(CONCATENATE(A30,A80),BD!$H$43:$S$59,12,FALSE),"")</f>
        <v/>
      </c>
      <c r="H30" s="512" t="str">
        <f t="shared" si="2"/>
        <v/>
      </c>
      <c r="I30" s="510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99919.989000000001</v>
      </c>
      <c r="M30" s="92">
        <f ca="1">LnkTXTER-LnkTXTProinfa</f>
        <v>99992.399218246035</v>
      </c>
      <c r="N30" s="210">
        <f ca="1">M30/L30</f>
        <v>1.0007246820077815</v>
      </c>
      <c r="O30" s="128"/>
      <c r="P30" s="68">
        <v>121096.97702999999</v>
      </c>
      <c r="Q30" s="68">
        <v>0.63819999999999999</v>
      </c>
      <c r="R30" s="68">
        <v>273.60000000000002</v>
      </c>
      <c r="S30" s="512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1"/>
      <c r="C31" s="511"/>
      <c r="D31" s="511" t="str">
        <f>IF(B31="","",SUMIFS(Faturas!V:V,Faturas!U:U,"Consumo*",Faturas!S:S,Energia!C31,Faturas!R:R,Energia!B31))</f>
        <v/>
      </c>
      <c r="E31" s="511" t="str">
        <f t="shared" si="1"/>
        <v/>
      </c>
      <c r="F31" s="599">
        <f t="shared" si="3"/>
        <v>0</v>
      </c>
      <c r="G31" s="512" t="str">
        <f>IFERROR(VLOOKUP(CONCATENATE(A31,A81),BD!$H$43:$S$59,12,FALSE),"")</f>
        <v/>
      </c>
      <c r="H31" s="512" t="str">
        <f t="shared" si="2"/>
        <v/>
      </c>
      <c r="I31" s="510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2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1"/>
      <c r="C32" s="511"/>
      <c r="D32" s="511" t="str">
        <f>IF(B32="","",SUMIFS(Faturas!V:V,Faturas!U:U,"Consumo*",Faturas!S:S,Energia!C32,Faturas!R:R,Energia!B32))</f>
        <v/>
      </c>
      <c r="E32" s="511" t="str">
        <f t="shared" si="1"/>
        <v/>
      </c>
      <c r="F32" s="599">
        <f t="shared" si="3"/>
        <v>0</v>
      </c>
      <c r="G32" s="512" t="str">
        <f>IFERROR(VLOOKUP(CONCATENATE(A32,A82),BD!$H$43:$S$59,12,FALSE),"")</f>
        <v/>
      </c>
      <c r="H32" s="512" t="str">
        <f t="shared" si="2"/>
        <v/>
      </c>
      <c r="I32" s="510">
        <f>SUMIFS(DescontoEnergia[Desconto],DescontoEnergia[idSupridora],Energia!A32,DescontoEnergia[Nível],Energia!C32)</f>
        <v>0</v>
      </c>
      <c r="K32" s="1798"/>
      <c r="L32" s="1798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1"/>
      <c r="C33" s="511"/>
      <c r="D33" s="511"/>
      <c r="E33" s="511" t="str">
        <f t="shared" si="1"/>
        <v/>
      </c>
      <c r="F33" s="599" t="str">
        <f>IF(B33="","",I33)</f>
        <v/>
      </c>
      <c r="G33" s="512" t="str">
        <f>IFERROR(VLOOKUP(CONCATENATE(A33,A83),BD!$H$43:$S$59,12,FALSE),"")</f>
        <v/>
      </c>
      <c r="H33" s="512" t="str">
        <f t="shared" si="2"/>
        <v/>
      </c>
      <c r="I33" s="510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1"/>
      <c r="C34" s="511"/>
      <c r="D34" s="511" t="str">
        <f>IF(B34="","",SUMIFS(Faturas!V:V,Faturas!U:U,"Consumo*",Faturas!S:S,Energia!C34,Faturas!R:R,Energia!B34))</f>
        <v/>
      </c>
      <c r="E34" s="511" t="str">
        <f t="shared" si="1"/>
        <v/>
      </c>
      <c r="F34" s="599" t="str">
        <f>IF(B34="","",I34)</f>
        <v/>
      </c>
      <c r="G34" s="512" t="str">
        <f>IFERROR(VLOOKUP(CONCATENATE(A34,A84),BD!$H$43:$S$59,12,FALSE),"")</f>
        <v/>
      </c>
      <c r="H34" s="512" t="str">
        <f t="shared" si="2"/>
        <v/>
      </c>
      <c r="I34" s="510">
        <f>SUMIFS(DescontoEnergia[Desconto],DescontoEnergia[idSupridora],Energia!A34,DescontoEnergia[Nível],Energia!C34)</f>
        <v>0</v>
      </c>
      <c r="K34" s="1561" t="s">
        <v>2161</v>
      </c>
      <c r="L34" s="1562"/>
      <c r="M34" s="747"/>
      <c r="N34" s="100"/>
      <c r="O34" s="128"/>
      <c r="V34" s="140" t="e">
        <f ca="1">V32+V33</f>
        <v>#VALUE!</v>
      </c>
    </row>
    <row r="35" spans="1:22" ht="14.25" customHeight="1">
      <c r="A35" s="74"/>
      <c r="B35" s="729"/>
      <c r="C35" s="730"/>
      <c r="D35" s="731">
        <f>SUM(D28:D34)</f>
        <v>99919989</v>
      </c>
      <c r="E35" s="731">
        <f>SUM(E28:E34)</f>
        <v>99919.989000000001</v>
      </c>
      <c r="F35" s="728"/>
      <c r="G35" s="724">
        <f>IFERROR(SUMPRODUCT(G28:G34,E28:E34)/SUM(E28:E34),0)</f>
        <v>284.99</v>
      </c>
      <c r="H35" s="725">
        <f>IFERROR(SUMPRODUCT(H28:H34,E28:E34)/SUM(E28:E34),0)</f>
        <v>129.926941</v>
      </c>
      <c r="I35" s="724"/>
      <c r="K35" s="1563" t="s">
        <v>2162</v>
      </c>
      <c r="L35" s="1564">
        <f ca="1">(L16+L17+L18+L19)/LnkTXTEV</f>
        <v>0.10044212383597759</v>
      </c>
      <c r="M35" s="747"/>
      <c r="N35" s="748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2" t="s">
        <v>778</v>
      </c>
      <c r="C40" s="1203" t="s">
        <v>1132</v>
      </c>
      <c r="D40" s="1204"/>
      <c r="E40" s="1203" t="s">
        <v>62</v>
      </c>
      <c r="F40" s="1203" t="s">
        <v>61</v>
      </c>
      <c r="G40" s="1203" t="s">
        <v>1133</v>
      </c>
      <c r="H40" s="1203" t="s">
        <v>1134</v>
      </c>
      <c r="I40" s="1203" t="s">
        <v>1135</v>
      </c>
      <c r="J40" s="1203" t="s">
        <v>898</v>
      </c>
      <c r="K40" s="1203" t="s">
        <v>1136</v>
      </c>
      <c r="L40" s="1203" t="s">
        <v>1137</v>
      </c>
      <c r="M40" s="1203" t="s">
        <v>1138</v>
      </c>
      <c r="N40" s="1203" t="s">
        <v>1139</v>
      </c>
      <c r="O40" s="128"/>
    </row>
    <row r="41" spans="1:22" ht="24" customHeight="1">
      <c r="A41" s="74"/>
      <c r="B41" s="790"/>
      <c r="C41" s="790"/>
      <c r="D41" s="790"/>
      <c r="E41" s="1741"/>
      <c r="F41" s="1742"/>
      <c r="G41" s="1743"/>
      <c r="H41" s="1744"/>
      <c r="I41" s="1741"/>
      <c r="J41" s="1737"/>
      <c r="K41" s="1739">
        <f>H7</f>
        <v>0</v>
      </c>
      <c r="L41" s="791">
        <f>IFERROR(J41*K41,0)</f>
        <v>0</v>
      </c>
      <c r="M41" s="800">
        <f t="shared" ref="M41:M47" ca="1" si="7">IFERROR(J41*$N$30,0)</f>
        <v>0</v>
      </c>
      <c r="N41" s="791">
        <f ca="1">IFERROR(K41*M41,0)</f>
        <v>0</v>
      </c>
      <c r="O41" s="128"/>
    </row>
    <row r="42" spans="1:22" ht="24" customHeight="1">
      <c r="A42" s="74"/>
      <c r="B42" s="790"/>
      <c r="C42" s="790"/>
      <c r="D42" s="790"/>
      <c r="E42" s="1741"/>
      <c r="F42" s="1742"/>
      <c r="G42" s="1743"/>
      <c r="H42" s="1744"/>
      <c r="I42" s="1745"/>
      <c r="J42" s="1737"/>
      <c r="K42" s="1739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41" t="str">
        <f>IF(B43="","",D43/1000)</f>
        <v/>
      </c>
      <c r="F43" s="1742" t="str">
        <f>IF(B43="","",I43)</f>
        <v/>
      </c>
      <c r="G43" s="1743" t="s">
        <v>114</v>
      </c>
      <c r="H43" s="1744">
        <v>0</v>
      </c>
      <c r="I43" s="1741">
        <v>0</v>
      </c>
      <c r="J43" s="1737"/>
      <c r="K43" s="1739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41" t="str">
        <f>IF(B44="","",D44/1000)</f>
        <v/>
      </c>
      <c r="F44" s="1742" t="str">
        <f>IF(B44="","",I44)</f>
        <v/>
      </c>
      <c r="G44" s="1743" t="s">
        <v>114</v>
      </c>
      <c r="H44" s="1744">
        <v>0</v>
      </c>
      <c r="I44" s="1741">
        <v>0</v>
      </c>
      <c r="J44" s="1737"/>
      <c r="K44" s="1739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41" t="str">
        <f>IF(B45="","",D45/1000)</f>
        <v/>
      </c>
      <c r="F45" s="1742" t="str">
        <f>IF(B45="","",I45)</f>
        <v/>
      </c>
      <c r="G45" s="1743" t="s">
        <v>114</v>
      </c>
      <c r="H45" s="1744">
        <v>0</v>
      </c>
      <c r="I45" s="1741">
        <v>0</v>
      </c>
      <c r="J45" s="1737"/>
      <c r="K45" s="1739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41" t="str">
        <f>IF(B46="","",D46/1000)</f>
        <v/>
      </c>
      <c r="F46" s="1742" t="str">
        <f>IF(B46="","",I46)</f>
        <v/>
      </c>
      <c r="G46" s="1743" t="s">
        <v>114</v>
      </c>
      <c r="H46" s="1744">
        <v>0</v>
      </c>
      <c r="I46" s="1741">
        <v>0</v>
      </c>
      <c r="J46" s="1737"/>
      <c r="K46" s="1739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41" t="str">
        <f>IF(B47="","",D47/1000)</f>
        <v/>
      </c>
      <c r="F47" s="1742" t="str">
        <f>IF(B47="","",I47)</f>
        <v/>
      </c>
      <c r="G47" s="1743" t="s">
        <v>114</v>
      </c>
      <c r="H47" s="1744">
        <v>0</v>
      </c>
      <c r="I47" s="1741">
        <v>0</v>
      </c>
      <c r="J47" s="1737"/>
      <c r="K47" s="1739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5" t="s">
        <v>769</v>
      </c>
      <c r="C48" s="1206"/>
      <c r="D48" s="1206"/>
      <c r="E48" s="1205"/>
      <c r="F48" s="1205"/>
      <c r="G48" s="1207"/>
      <c r="H48" s="1205"/>
      <c r="I48" s="1205"/>
      <c r="J48" s="1208">
        <f>SUM(J41:J47)</f>
        <v>0</v>
      </c>
      <c r="K48" s="1209">
        <f ca="1">IFERROR(SUMPRODUCT(K41:K47,M41:M47)/SUM(M41:M47),0)</f>
        <v>0</v>
      </c>
      <c r="L48" s="1205"/>
      <c r="M48" s="1210">
        <f ca="1">SUM(M41:M47)</f>
        <v>0</v>
      </c>
      <c r="N48" s="1210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778</v>
      </c>
      <c r="C52" s="1203" t="s">
        <v>1132</v>
      </c>
      <c r="D52" s="1204"/>
      <c r="E52" s="1203" t="s">
        <v>62</v>
      </c>
      <c r="F52" s="1203" t="s">
        <v>61</v>
      </c>
      <c r="G52" s="1203" t="s">
        <v>1133</v>
      </c>
      <c r="H52" s="1203" t="s">
        <v>1134</v>
      </c>
      <c r="I52" s="1203" t="s">
        <v>1135</v>
      </c>
      <c r="J52" s="1203" t="s">
        <v>898</v>
      </c>
      <c r="K52" s="1203" t="s">
        <v>1136</v>
      </c>
      <c r="L52" s="1203" t="s">
        <v>1137</v>
      </c>
      <c r="M52" s="1203" t="s">
        <v>1138</v>
      </c>
      <c r="N52" s="1203" t="s">
        <v>1139</v>
      </c>
      <c r="O52" s="128"/>
      <c r="V52" s="140" t="e">
        <f ca="1">V34-V51</f>
        <v>#VALUE!</v>
      </c>
    </row>
    <row r="53" spans="1:22" ht="18" customHeight="1">
      <c r="A53" s="74"/>
      <c r="B53" s="790"/>
      <c r="C53" s="790"/>
      <c r="D53" s="790"/>
      <c r="E53" s="1741"/>
      <c r="F53" s="1742"/>
      <c r="G53" s="1743"/>
      <c r="H53" s="1744"/>
      <c r="I53" s="1738"/>
      <c r="J53" s="1737"/>
      <c r="K53" s="1739">
        <f>H28</f>
        <v>129.926941</v>
      </c>
      <c r="L53" s="791">
        <f>IFERROR(J53*K53,0)</f>
        <v>0</v>
      </c>
      <c r="M53" s="800">
        <f t="shared" ref="M53:M59" ca="1" si="10">IFERROR(J53*$N$30,0)</f>
        <v>0</v>
      </c>
      <c r="N53" s="791">
        <f ca="1">IFERROR(K53*M53,0)</f>
        <v>0</v>
      </c>
      <c r="O53" s="134"/>
    </row>
    <row r="54" spans="1:22">
      <c r="B54" s="790"/>
      <c r="C54" s="790"/>
      <c r="D54" s="790"/>
      <c r="E54" s="1741"/>
      <c r="F54" s="1742"/>
      <c r="G54" s="1743"/>
      <c r="H54" s="1744"/>
      <c r="I54" s="1740"/>
      <c r="J54" s="1737"/>
      <c r="K54" s="1739" t="str">
        <f>H29</f>
        <v/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41" t="str">
        <f>IF(B55="","",D55/1000)</f>
        <v/>
      </c>
      <c r="F55" s="1742" t="str">
        <f>IF(B55="","",I55)</f>
        <v/>
      </c>
      <c r="G55" s="1743" t="s">
        <v>114</v>
      </c>
      <c r="H55" s="1744">
        <v>0</v>
      </c>
      <c r="I55" s="1738">
        <v>0</v>
      </c>
      <c r="J55" s="1737"/>
      <c r="K55" s="1739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41" t="str">
        <f>IF(B56="","",D56/1000)</f>
        <v/>
      </c>
      <c r="F56" s="1742" t="str">
        <f>IF(B56="","",I56)</f>
        <v/>
      </c>
      <c r="G56" s="1743" t="s">
        <v>114</v>
      </c>
      <c r="H56" s="1744">
        <v>0</v>
      </c>
      <c r="I56" s="1738">
        <v>0</v>
      </c>
      <c r="J56" s="1737"/>
      <c r="K56" s="1739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41" t="str">
        <f>IF(B57="","",D57/1000)</f>
        <v/>
      </c>
      <c r="F57" s="1742" t="str">
        <f>IF(B57="","",I57)</f>
        <v/>
      </c>
      <c r="G57" s="1743" t="s">
        <v>114</v>
      </c>
      <c r="H57" s="1744">
        <v>0</v>
      </c>
      <c r="I57" s="1738">
        <v>0</v>
      </c>
      <c r="J57" s="1737"/>
      <c r="K57" s="1739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41" t="str">
        <f>IF(B58="","",D58/1000)</f>
        <v/>
      </c>
      <c r="F58" s="1742" t="str">
        <f>IF(B58="","",I58)</f>
        <v/>
      </c>
      <c r="G58" s="1743" t="s">
        <v>114</v>
      </c>
      <c r="H58" s="1744">
        <v>0</v>
      </c>
      <c r="I58" s="1738">
        <v>0</v>
      </c>
      <c r="J58" s="1737"/>
      <c r="K58" s="1739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41" t="str">
        <f>IF(B59="","",D59/1000)</f>
        <v/>
      </c>
      <c r="F59" s="1742" t="str">
        <f>IF(B59="","",I59)</f>
        <v/>
      </c>
      <c r="G59" s="1743" t="s">
        <v>114</v>
      </c>
      <c r="H59" s="1744">
        <v>0</v>
      </c>
      <c r="I59" s="1738">
        <v>0</v>
      </c>
      <c r="J59" s="1737"/>
      <c r="K59" s="1739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5" t="s">
        <v>769</v>
      </c>
      <c r="C60" s="1206"/>
      <c r="D60" s="1206"/>
      <c r="E60" s="1205"/>
      <c r="F60" s="1205"/>
      <c r="G60" s="1207"/>
      <c r="H60" s="1205"/>
      <c r="I60" s="1205"/>
      <c r="J60" s="1208">
        <f>SUM(J53:J59)</f>
        <v>0</v>
      </c>
      <c r="K60" s="1209">
        <f ca="1">IFERROR(SUMPRODUCT(K53:K59,M53:M59)/SUM(M53:M59),0)</f>
        <v>0</v>
      </c>
      <c r="L60" s="1205"/>
      <c r="M60" s="1210">
        <f ca="1">SUM(M53:M59)</f>
        <v>0</v>
      </c>
      <c r="N60" s="1210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1" t="s">
        <v>1140</v>
      </c>
      <c r="C62" s="1212" t="s">
        <v>1141</v>
      </c>
      <c r="D62" s="1213"/>
      <c r="E62" s="1214" t="s">
        <v>1142</v>
      </c>
      <c r="F62" s="1214" t="s">
        <v>1143</v>
      </c>
      <c r="H62" s="1215" t="s">
        <v>1144</v>
      </c>
      <c r="I62" s="1216" t="s">
        <v>42</v>
      </c>
      <c r="J62" s="1217" t="s">
        <v>43</v>
      </c>
      <c r="K62" s="1218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36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9" t="s">
        <v>1146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36">
        <f t="shared" si="13"/>
        <v>0</v>
      </c>
      <c r="E64" s="217">
        <f>BD!AG22</f>
        <v>0</v>
      </c>
      <c r="F64" s="107">
        <f>C64*E64</f>
        <v>0</v>
      </c>
      <c r="H64" s="801" t="s">
        <v>1147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1146</v>
      </c>
      <c r="C65" s="251">
        <f>BD!AE23</f>
        <v>0</v>
      </c>
      <c r="D65" s="1736">
        <f t="shared" si="13"/>
        <v>0</v>
      </c>
      <c r="E65" s="217">
        <f>BD!AG23</f>
        <v>0</v>
      </c>
      <c r="F65" s="107">
        <f>C65*E65</f>
        <v>0</v>
      </c>
      <c r="H65" s="805" t="s">
        <v>1148</v>
      </c>
      <c r="I65" s="802">
        <f>I64</f>
        <v>0.87029999999999996</v>
      </c>
      <c r="J65" s="803">
        <f>J64</f>
        <v>195.04</v>
      </c>
      <c r="K65" s="804">
        <f>(J65*(1-I65)*I68*K68*365*24)</f>
        <v>0</v>
      </c>
    </row>
    <row r="66" spans="1:11" ht="15.75">
      <c r="B66" s="792"/>
      <c r="C66" s="792">
        <f>SUM(C63:C65)</f>
        <v>0</v>
      </c>
      <c r="D66" s="792"/>
      <c r="E66" s="792"/>
      <c r="F66" s="792">
        <f>SUM(F63:F65)</f>
        <v>0</v>
      </c>
      <c r="H66" s="786" t="s">
        <v>1149</v>
      </c>
      <c r="I66" s="1223"/>
      <c r="J66" s="1224"/>
      <c r="K66" s="1225">
        <f>SUM(K63:K65)</f>
        <v>0</v>
      </c>
    </row>
    <row r="67" spans="1:11" ht="15.75">
      <c r="H67" s="1799" t="s">
        <v>45</v>
      </c>
      <c r="I67" s="1799"/>
      <c r="J67" s="1226"/>
      <c r="K67" s="1226" t="s">
        <v>44</v>
      </c>
    </row>
    <row r="68" spans="1:11" ht="15.75">
      <c r="H68" s="787" t="str">
        <f>CAPA!C9</f>
        <v>Ceraçá</v>
      </c>
      <c r="I68" s="807" cm="1">
        <f t="array" ref="I68">GSFRH[Fator de rateio]</f>
        <v>0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11" t="s">
        <v>1150</v>
      </c>
      <c r="C69" s="1212" t="s">
        <v>1141</v>
      </c>
      <c r="D69" s="1213"/>
      <c r="E69" s="1214" t="s">
        <v>1142</v>
      </c>
      <c r="F69" s="1214" t="s">
        <v>1143</v>
      </c>
    </row>
    <row r="70" spans="1:11">
      <c r="B70" s="78" t="s">
        <v>1151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1150</v>
      </c>
    </row>
    <row r="76" spans="1:11">
      <c r="C76" s="1714" t="s">
        <v>2199</v>
      </c>
      <c r="D76" s="1714" t="s">
        <v>2306</v>
      </c>
    </row>
    <row r="77" spans="1:11">
      <c r="A77" s="68" t="s">
        <v>1152</v>
      </c>
      <c r="C77" s="1732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A4</v>
      </c>
      <c r="C78" s="1732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32">
        <f t="shared" ref="C79:C87" si="16">EDATE(C78,1)</f>
        <v>44501</v>
      </c>
      <c r="D79" s="851">
        <f>IFERROR(VLOOKUP(C79,GeracaoPropria[],2,FALSE)/1000,0)</f>
        <v>0</v>
      </c>
    </row>
    <row r="80" spans="1:11">
      <c r="A80" s="68" t="str">
        <f t="shared" si="15"/>
        <v/>
      </c>
      <c r="C80" s="1732">
        <f t="shared" si="16"/>
        <v>44531</v>
      </c>
      <c r="D80" s="851">
        <f>IFERROR(VLOOKUP(C80,GeracaoPropria[],2,FALSE)/1000,0)</f>
        <v>0</v>
      </c>
    </row>
    <row r="81" spans="1:4">
      <c r="A81" s="68" t="str">
        <f t="shared" si="15"/>
        <v/>
      </c>
      <c r="C81" s="1732">
        <f t="shared" si="16"/>
        <v>44562</v>
      </c>
      <c r="D81" s="851">
        <f>IFERROR(VLOOKUP(C81,GeracaoPropria[],2,FALSE)/1000,0)</f>
        <v>0</v>
      </c>
    </row>
    <row r="82" spans="1:4">
      <c r="A82" s="68" t="str">
        <f t="shared" si="15"/>
        <v/>
      </c>
      <c r="C82" s="1732">
        <f t="shared" si="16"/>
        <v>44593</v>
      </c>
      <c r="D82" s="851">
        <f>IFERROR(VLOOKUP(C82,GeracaoPropria[],2,FALSE)/1000,0)</f>
        <v>0</v>
      </c>
    </row>
    <row r="83" spans="1:4">
      <c r="A83" s="68" t="str">
        <f t="shared" si="15"/>
        <v/>
      </c>
      <c r="C83" s="1732">
        <f t="shared" si="16"/>
        <v>44621</v>
      </c>
      <c r="D83" s="851">
        <f>IFERROR(VLOOKUP(C83,GeracaoPropria[],2,FALSE)/1000,0)</f>
        <v>0</v>
      </c>
    </row>
    <row r="84" spans="1:4">
      <c r="A84" s="68" t="str">
        <f t="shared" si="15"/>
        <v/>
      </c>
      <c r="C84" s="1732">
        <f t="shared" si="16"/>
        <v>44652</v>
      </c>
      <c r="D84" s="851">
        <f>IFERROR(VLOOKUP(C84,GeracaoPropria[],2,FALSE)/1000,0)</f>
        <v>0</v>
      </c>
    </row>
    <row r="85" spans="1:4">
      <c r="C85" s="1732">
        <f t="shared" si="16"/>
        <v>44682</v>
      </c>
      <c r="D85" s="851">
        <f>IFERROR(VLOOKUP(C85,GeracaoPropria[],2,FALSE)/1000,0)</f>
        <v>0</v>
      </c>
    </row>
    <row r="86" spans="1:4">
      <c r="C86" s="1732">
        <f>EDATE(C85,1)</f>
        <v>44713</v>
      </c>
      <c r="D86" s="851">
        <f>IFERROR(VLOOKUP(C86,GeracaoPropria[],2,FALSE)/1000,D85)</f>
        <v>0</v>
      </c>
    </row>
    <row r="87" spans="1:4">
      <c r="C87" s="1732">
        <f t="shared" si="16"/>
        <v>44743</v>
      </c>
      <c r="D87" s="851">
        <f>IFERROR(VLOOKUP(C87,GeracaoPropria[],2,FALSE)/1000,D86)</f>
        <v>0</v>
      </c>
    </row>
    <row r="88" spans="1:4">
      <c r="C88" s="1732">
        <f>EDATE(C87,1)</f>
        <v>44774</v>
      </c>
      <c r="D88" s="851">
        <f>IFERROR(VLOOKUP(C88,GeracaoPropria[],2,FALSE)/1000,D87)</f>
        <v>0</v>
      </c>
    </row>
    <row r="89" spans="1:4">
      <c r="C89" s="1715" t="s">
        <v>769</v>
      </c>
      <c r="D89" s="1117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C36" sqref="C3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7" t="s">
        <v>2282</v>
      </c>
      <c r="C1" s="1718"/>
      <c r="D1" s="1719"/>
      <c r="E1" s="1719"/>
      <c r="F1" s="1720" t="s">
        <v>873</v>
      </c>
      <c r="G1" s="1721">
        <f ca="1">LnkTXTIRTEco</f>
        <v>7.1900000000000006E-2</v>
      </c>
    </row>
    <row r="2" spans="2:10">
      <c r="B2" s="1722" t="str">
        <f>CAPA!C9</f>
        <v>Ceraçá</v>
      </c>
      <c r="C2" s="1723"/>
      <c r="D2" s="1723"/>
      <c r="E2" s="1723"/>
      <c r="F2" s="1724" t="s">
        <v>877</v>
      </c>
      <c r="G2" s="1725">
        <f ca="1">LnkTXTIRTTotal</f>
        <v>-0.1532</v>
      </c>
    </row>
    <row r="4" spans="2:10">
      <c r="B4" s="9"/>
    </row>
    <row r="5" spans="2:10" ht="25.5">
      <c r="B5" s="1714" t="s">
        <v>2199</v>
      </c>
      <c r="C5" s="1714" t="s">
        <v>2180</v>
      </c>
      <c r="D5" s="1714" t="s">
        <v>2181</v>
      </c>
      <c r="E5" s="1714" t="s">
        <v>2182</v>
      </c>
      <c r="F5" s="1714" t="s">
        <v>790</v>
      </c>
      <c r="G5" s="1714" t="s">
        <v>109</v>
      </c>
      <c r="H5" s="1714" t="s">
        <v>2200</v>
      </c>
      <c r="I5" s="1714" t="s">
        <v>742</v>
      </c>
      <c r="J5" s="1714" t="s">
        <v>1282</v>
      </c>
    </row>
    <row r="6" spans="2:10">
      <c r="B6" s="1732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8425.34</v>
      </c>
      <c r="G6" s="851">
        <f>IF(C6=0,(SUMIF(FaturasT!I:I,'Perdas de Energia'!B6,FaturasT!P:P)/1000),0)</f>
        <v>159.79300000000001</v>
      </c>
      <c r="H6" s="851">
        <f>SUMIF(dados_MercadoBase[AnoMes],'Perdas de Energia'!B6,dados_MercadoBase[TE_E])</f>
        <v>7690.1930000000002</v>
      </c>
      <c r="I6" s="1733">
        <f>C6-D6-E6+F6-H6+G6</f>
        <v>894.93999999999994</v>
      </c>
      <c r="J6" s="1734">
        <f>I6/(C6-D6-E6+F6+G6)</f>
        <v>0.10424299774971453</v>
      </c>
    </row>
    <row r="7" spans="2:10">
      <c r="B7" s="1732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8272.6890000000003</v>
      </c>
      <c r="G7" s="851">
        <f>IF(C7=0,(SUMIF(FaturasT!I:I,'Perdas de Energia'!B7,FaturasT!P:P)/1000),0)</f>
        <v>159.75899999999999</v>
      </c>
      <c r="H7" s="851">
        <f>SUMIF(dados_MercadoBase[AnoMes],'Perdas de Energia'!B7,dados_MercadoBase[TE_E])</f>
        <v>7422.7489999999998</v>
      </c>
      <c r="I7" s="1733">
        <f t="shared" ref="I7:I16" si="0">C7-D7-E7+F7-H7+G7</f>
        <v>1009.6990000000005</v>
      </c>
      <c r="J7" s="1734">
        <f t="shared" ref="J7:J17" si="1">I7/(C7-D7-E7+F7+G7)</f>
        <v>0.11973972445486773</v>
      </c>
    </row>
    <row r="8" spans="2:10">
      <c r="B8" s="1732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7882.0690000000004</v>
      </c>
      <c r="G8" s="851">
        <f>IF(C8=0,(SUMIF(FaturasT!I:I,'Perdas de Energia'!B8,FaturasT!P:P)/1000),0)</f>
        <v>170.10499999999999</v>
      </c>
      <c r="H8" s="851">
        <f>SUMIF(dados_MercadoBase[AnoMes],'Perdas de Energia'!B8,dados_MercadoBase[TE_E])</f>
        <v>7514.0550000000003</v>
      </c>
      <c r="I8" s="1733">
        <f t="shared" si="0"/>
        <v>538.11900000000014</v>
      </c>
      <c r="J8" s="1734">
        <f t="shared" si="1"/>
        <v>6.6829032755626017E-2</v>
      </c>
    </row>
    <row r="9" spans="2:10">
      <c r="B9" s="1732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8211.2510000000002</v>
      </c>
      <c r="G9" s="851">
        <f>IF(C9=0,(SUMIF(FaturasT!I:I,'Perdas de Energia'!B9,FaturasT!P:P)/1000),0)</f>
        <v>169.82900000000001</v>
      </c>
      <c r="H9" s="851">
        <f>SUMIF(dados_MercadoBase[AnoMes],'Perdas de Energia'!B9,dados_MercadoBase[TE_E])</f>
        <v>7486.581000000001</v>
      </c>
      <c r="I9" s="1733">
        <f t="shared" si="0"/>
        <v>894.49899999999911</v>
      </c>
      <c r="J9" s="1734">
        <f t="shared" si="1"/>
        <v>0.10672836913619714</v>
      </c>
    </row>
    <row r="10" spans="2:10">
      <c r="B10" s="1732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8958.8889999999992</v>
      </c>
      <c r="G10" s="851">
        <f>IF(C10=0,(SUMIF(FaturasT!I:I,'Perdas de Energia'!B10,FaturasT!P:P)/1000),0)</f>
        <v>154.85900000000001</v>
      </c>
      <c r="H10" s="851">
        <f>SUMIF(dados_MercadoBase[AnoMes],'Perdas de Energia'!B10,dados_MercadoBase[TE_E])</f>
        <v>8505.8149999999987</v>
      </c>
      <c r="I10" s="1733">
        <f t="shared" si="0"/>
        <v>607.93300000000056</v>
      </c>
      <c r="J10" s="1734">
        <f t="shared" si="1"/>
        <v>6.670504824140415E-2</v>
      </c>
    </row>
    <row r="11" spans="2:10">
      <c r="B11" s="1732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9594.3330000000005</v>
      </c>
      <c r="G11" s="851">
        <f>IF(C11=0,(SUMIF(FaturasT!I:I,'Perdas de Energia'!B11,FaturasT!P:P)/1000),0)</f>
        <v>127.657</v>
      </c>
      <c r="H11" s="851">
        <f>SUMIF(dados_MercadoBase[AnoMes],'Perdas de Energia'!B11,dados_MercadoBase[TE_E])</f>
        <v>8406.5059999999976</v>
      </c>
      <c r="I11" s="1733">
        <f t="shared" si="0"/>
        <v>1315.4840000000029</v>
      </c>
      <c r="J11" s="1734">
        <f t="shared" si="1"/>
        <v>0.13531015769405264</v>
      </c>
    </row>
    <row r="12" spans="2:10">
      <c r="B12" s="1732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8237.1550000000007</v>
      </c>
      <c r="G12" s="851">
        <f>IF(C12=0,(SUMIF(FaturasT!I:I,'Perdas de Energia'!B12,FaturasT!P:P)/1000),0)</f>
        <v>114.33199999999999</v>
      </c>
      <c r="H12" s="851">
        <f>SUMIF(dados_MercadoBase[AnoMes],'Perdas de Energia'!B12,dados_MercadoBase[TE_E])</f>
        <v>8125.6120000000001</v>
      </c>
      <c r="I12" s="1733">
        <f t="shared" si="0"/>
        <v>225.87500000000057</v>
      </c>
      <c r="J12" s="1734">
        <f t="shared" si="1"/>
        <v>2.7046081733708087E-2</v>
      </c>
    </row>
    <row r="13" spans="2:10">
      <c r="B13" s="1732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8699.0310000000009</v>
      </c>
      <c r="G13" s="851">
        <f>IF(C13=0,(SUMIF(FaturasT!I:I,'Perdas de Energia'!B13,FaturasT!P:P)/1000),0)</f>
        <v>123.569</v>
      </c>
      <c r="H13" s="851">
        <f>SUMIF(dados_MercadoBase[AnoMes],'Perdas de Energia'!B13,dados_MercadoBase[TE_E])</f>
        <v>7401.4180000000006</v>
      </c>
      <c r="I13" s="1733">
        <f t="shared" si="0"/>
        <v>1421.1820000000002</v>
      </c>
      <c r="J13" s="1734">
        <f t="shared" si="1"/>
        <v>0.16108426087547892</v>
      </c>
    </row>
    <row r="14" spans="2:10">
      <c r="B14" s="1732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7549.5479999999998</v>
      </c>
      <c r="G14" s="851">
        <f>IF(C14=0,IF(IFERROR(VLOOKUP(B14,FaturasT!I:I,1,FALSE),0)=B14,(SUMIF(Consulta3[MesAno],'Perdas de Energia'!B14,Consulta3[Proinfa (kWh)])/1000),G13),0)</f>
        <v>118.895</v>
      </c>
      <c r="H14" s="851">
        <f>SUMIF(dados_MercadoBase[AnoMes],'Perdas de Energia'!B14,dados_MercadoBase[TE_E])</f>
        <v>7219.421000000003</v>
      </c>
      <c r="I14" s="1733">
        <f t="shared" si="0"/>
        <v>449.02199999999675</v>
      </c>
      <c r="J14" s="1734">
        <f t="shared" si="1"/>
        <v>5.8554520128792344E-2</v>
      </c>
    </row>
    <row r="15" spans="2:10">
      <c r="B15" s="1732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8075.9960000000001</v>
      </c>
      <c r="G15" s="851">
        <f>IF(C15=0,IF(IFERROR(VLOOKUP(B15,FaturasT!I:I,1,FALSE),0)=B15,(SUMIF(Consulta3[MesAno],'Perdas de Energia'!B15,Consulta3[Proinfa (kWh)])/1000),G14),0)</f>
        <v>134.86799999999999</v>
      </c>
      <c r="H15" s="851">
        <f>SUMIF(dados_MercadoBase[AnoMes],'Perdas de Energia'!B15,dados_MercadoBase[TE_E])</f>
        <v>7329.9339999999993</v>
      </c>
      <c r="I15" s="1733">
        <f t="shared" si="0"/>
        <v>880.93000000000075</v>
      </c>
      <c r="J15" s="1734">
        <f t="shared" si="1"/>
        <v>0.10728834383324347</v>
      </c>
    </row>
    <row r="16" spans="2:10">
      <c r="B16" s="1732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8091.7759999999998</v>
      </c>
      <c r="G16" s="851">
        <f>IF(C16=0,IF(IFERROR(VLOOKUP(B16,FaturasT!I:I,1,FALSE),0)=B16,(SUMIF(Consulta3[MesAno],'Perdas de Energia'!B16,Consulta3[Proinfa (kWh)])/1000),G15),0)</f>
        <v>134.77500000000001</v>
      </c>
      <c r="H16" s="851">
        <f>SUMIF(dados_MercadoBase[AnoMes],'Perdas de Energia'!B16,dados_MercadoBase[TE_E])</f>
        <v>7171.1430000000009</v>
      </c>
      <c r="I16" s="1733">
        <f t="shared" si="0"/>
        <v>1055.407999999999</v>
      </c>
      <c r="J16" s="1734">
        <f t="shared" si="1"/>
        <v>0.12829288969338415</v>
      </c>
    </row>
    <row r="17" spans="2:10">
      <c r="B17" s="1732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7921.9120000000003</v>
      </c>
      <c r="G17" s="851">
        <f>IF(C17=0,IF(IFERROR(VLOOKUP(B17,FaturasT!I:I,1,FALSE),0)=B17,(SUMIF(Consulta3[MesAno],'Perdas de Energia'!B17,Consulta3[Proinfa (kWh)])/1000),G16),0)</f>
        <v>139.643</v>
      </c>
      <c r="H17" s="851">
        <f>SUMIF(dados_MercadoBase[AnoMes],'Perdas de Energia'!B17,dados_MercadoBase[TE_E])</f>
        <v>7279.5659999999998</v>
      </c>
      <c r="I17" s="1733">
        <f>C17-D17-E17+F17-H17+G17</f>
        <v>781.98900000000049</v>
      </c>
      <c r="J17" s="1734">
        <f t="shared" si="1"/>
        <v>9.7002253287362117E-2</v>
      </c>
    </row>
    <row r="18" spans="2:10">
      <c r="B18" s="1715" t="s">
        <v>769</v>
      </c>
      <c r="C18" s="1117">
        <f t="shared" ref="C18:G18" si="3">SUM(C6:C17)</f>
        <v>0</v>
      </c>
      <c r="D18" s="1117">
        <f t="shared" si="3"/>
        <v>0</v>
      </c>
      <c r="E18" s="1117">
        <f t="shared" si="3"/>
        <v>0</v>
      </c>
      <c r="F18" s="1117">
        <f t="shared" si="3"/>
        <v>99919.988999999987</v>
      </c>
      <c r="G18" s="1117">
        <f t="shared" si="3"/>
        <v>1708.0840000000003</v>
      </c>
      <c r="H18" s="1117">
        <f>SUM(H6:H17)</f>
        <v>91552.992999999988</v>
      </c>
      <c r="I18" s="1117">
        <f>SUM(I6:I17)</f>
        <v>10075.080000000002</v>
      </c>
      <c r="J18" s="1716">
        <f>I18/(C18-D18-E18+F18+G18)</f>
        <v>9.9136780838105662E-2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635</v>
      </c>
      <c r="C1" s="1021">
        <f>Resultado!C1</f>
        <v>0</v>
      </c>
      <c r="D1" s="1228"/>
      <c r="E1" s="1229"/>
      <c r="F1" s="1230"/>
      <c r="G1" s="1131" t="s">
        <v>873</v>
      </c>
      <c r="H1" s="1231">
        <f ca="1">LnkTXTIRTEco</f>
        <v>7.1900000000000006E-2</v>
      </c>
    </row>
    <row r="2" spans="2:27">
      <c r="B2" s="136" t="str">
        <f>CAPA!C9</f>
        <v>Ceraçá</v>
      </c>
      <c r="C2" s="70"/>
      <c r="D2" s="70"/>
      <c r="G2" s="120" t="s">
        <v>877</v>
      </c>
      <c r="H2" s="146">
        <f ca="1">LnkTXTIRTTotal</f>
        <v>-0.1532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1153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778</v>
      </c>
      <c r="C8" s="1233" t="s">
        <v>1154</v>
      </c>
      <c r="D8" s="1233" t="s">
        <v>1155</v>
      </c>
      <c r="E8" s="1233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4" t="s">
        <v>1157</v>
      </c>
      <c r="C10" s="1235">
        <f>SUMIFS($M$18:$M$63,$D$18:$D$63,"Fora Ponta")</f>
        <v>0</v>
      </c>
      <c r="D10" s="1235">
        <f>SUMIFS($J$18:$J$63,$D$18:$D$63,"Fora Ponta")</f>
        <v>0</v>
      </c>
      <c r="E10" s="1235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1158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10" t="s">
        <v>1159</v>
      </c>
      <c r="C15" s="1811" t="s">
        <v>1160</v>
      </c>
      <c r="D15" s="1812" t="s">
        <v>78</v>
      </c>
      <c r="E15" s="1813" t="s">
        <v>1161</v>
      </c>
      <c r="F15" s="1813"/>
      <c r="G15" s="1813"/>
      <c r="H15" s="1814"/>
      <c r="I15" s="1815" t="s">
        <v>1162</v>
      </c>
      <c r="J15" s="1816"/>
      <c r="K15" s="1816"/>
      <c r="L15" s="1816"/>
      <c r="M15" s="1800" t="s">
        <v>1163</v>
      </c>
      <c r="N15" s="1801"/>
      <c r="O15" s="1801"/>
      <c r="P15" s="1801"/>
      <c r="Q15" s="1801"/>
      <c r="R15" s="1801"/>
      <c r="S15" s="1801"/>
      <c r="T15" s="1801"/>
      <c r="U15" s="1801"/>
      <c r="V15" s="1801"/>
      <c r="W15" s="1801"/>
      <c r="X15" s="1801"/>
      <c r="Y15" s="1801"/>
      <c r="Z15" s="65"/>
      <c r="AA15" s="382"/>
    </row>
    <row r="16" spans="2:27">
      <c r="B16" s="1810"/>
      <c r="C16" s="1811"/>
      <c r="D16" s="1812"/>
      <c r="E16" s="1804" t="s">
        <v>110</v>
      </c>
      <c r="F16" s="1805"/>
      <c r="G16" s="1805" t="s">
        <v>1164</v>
      </c>
      <c r="H16" s="1806"/>
      <c r="I16" s="1807" t="s">
        <v>110</v>
      </c>
      <c r="J16" s="1808"/>
      <c r="K16" s="1808" t="s">
        <v>1164</v>
      </c>
      <c r="L16" s="1809"/>
      <c r="M16" s="1802"/>
      <c r="N16" s="1803"/>
      <c r="O16" s="1803"/>
      <c r="P16" s="1803"/>
      <c r="Q16" s="1803"/>
      <c r="R16" s="1803"/>
      <c r="S16" s="1803"/>
      <c r="T16" s="1803"/>
      <c r="U16" s="1803"/>
      <c r="V16" s="1803"/>
      <c r="W16" s="1803"/>
      <c r="X16" s="1803"/>
      <c r="Y16" s="1803"/>
      <c r="Z16" s="65"/>
      <c r="AA16" s="382"/>
    </row>
    <row r="17" spans="2:27">
      <c r="B17" s="1810"/>
      <c r="C17" s="1811"/>
      <c r="D17" s="1812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9">
        <f>RBBD!B3</f>
        <v>0</v>
      </c>
      <c r="C18" s="1239">
        <f>RBBD!C3</f>
        <v>0</v>
      </c>
      <c r="D18" s="1239">
        <f>RBBD!D3</f>
        <v>0</v>
      </c>
      <c r="E18" s="1239">
        <f>RBBD!E3</f>
        <v>0</v>
      </c>
      <c r="F18" s="1239">
        <f>RBBD!F3</f>
        <v>0</v>
      </c>
      <c r="G18" s="1239">
        <f>RBBD!G3</f>
        <v>0</v>
      </c>
      <c r="H18" s="1239">
        <f>RBBD!H3</f>
        <v>0</v>
      </c>
      <c r="I18" s="1239">
        <f>E18*$M18</f>
        <v>0</v>
      </c>
      <c r="J18" s="1239">
        <f>F18*$M18</f>
        <v>0</v>
      </c>
      <c r="K18" s="1239">
        <f>G18*$M18</f>
        <v>0</v>
      </c>
      <c r="L18" s="1239">
        <f>H18*$M18</f>
        <v>0</v>
      </c>
      <c r="M18" s="1239">
        <f>SUM(N18:Y18)</f>
        <v>0</v>
      </c>
      <c r="N18" s="1239">
        <f>RBBD!I3</f>
        <v>0</v>
      </c>
      <c r="O18" s="1239">
        <f>RBBD!J3</f>
        <v>0</v>
      </c>
      <c r="P18" s="1239">
        <f>RBBD!K3</f>
        <v>0</v>
      </c>
      <c r="Q18" s="1239">
        <f>RBBD!L3</f>
        <v>0</v>
      </c>
      <c r="R18" s="1239">
        <f>RBBD!M3</f>
        <v>0</v>
      </c>
      <c r="S18" s="1239">
        <f>RBBD!N3</f>
        <v>0</v>
      </c>
      <c r="T18" s="1239">
        <f>RBBD!O3</f>
        <v>0</v>
      </c>
      <c r="U18" s="1239">
        <f>RBBD!P3</f>
        <v>0</v>
      </c>
      <c r="V18" s="1239">
        <f>RBBD!Q3</f>
        <v>0</v>
      </c>
      <c r="W18" s="1239">
        <f>RBBD!R3</f>
        <v>0</v>
      </c>
      <c r="X18" s="1239">
        <f>RBBD!S3</f>
        <v>0</v>
      </c>
      <c r="Y18" s="1239">
        <f>RBBD!T3</f>
        <v>0</v>
      </c>
      <c r="Z18" s="65"/>
      <c r="AA18" s="324">
        <f t="shared" ref="AA18:AA23" si="1">IF(B18=0,0,1)</f>
        <v>0</v>
      </c>
    </row>
    <row r="19" spans="2:27" hidden="1">
      <c r="B19" s="1239">
        <f>RBBD!B4</f>
        <v>0</v>
      </c>
      <c r="C19" s="1239">
        <f>RBBD!C4</f>
        <v>0</v>
      </c>
      <c r="D19" s="1239">
        <f>RBBD!D4</f>
        <v>0</v>
      </c>
      <c r="E19" s="1239">
        <f>RBBD!E4</f>
        <v>0</v>
      </c>
      <c r="F19" s="1239">
        <f>RBBD!F4</f>
        <v>0</v>
      </c>
      <c r="G19" s="1239">
        <f>RBBD!G4</f>
        <v>0</v>
      </c>
      <c r="H19" s="1239">
        <f>RBBD!H4</f>
        <v>0</v>
      </c>
      <c r="I19" s="1239">
        <f t="shared" ref="I19:L60" si="2">E19*$M19</f>
        <v>0</v>
      </c>
      <c r="J19" s="1239">
        <f t="shared" si="2"/>
        <v>0</v>
      </c>
      <c r="K19" s="1239">
        <f t="shared" si="2"/>
        <v>0</v>
      </c>
      <c r="L19" s="1239">
        <f t="shared" si="2"/>
        <v>0</v>
      </c>
      <c r="M19" s="1239">
        <f t="shared" ref="M19:M60" si="3">SUM(N19:Y19)</f>
        <v>0</v>
      </c>
      <c r="N19" s="1239">
        <f>RBBD!I4</f>
        <v>0</v>
      </c>
      <c r="O19" s="1239">
        <f>RBBD!J4</f>
        <v>0</v>
      </c>
      <c r="P19" s="1239">
        <f>RBBD!K4</f>
        <v>0</v>
      </c>
      <c r="Q19" s="1239">
        <f>RBBD!L4</f>
        <v>0</v>
      </c>
      <c r="R19" s="1239">
        <f>RBBD!M4</f>
        <v>0</v>
      </c>
      <c r="S19" s="1239">
        <f>RBBD!N4</f>
        <v>0</v>
      </c>
      <c r="T19" s="1239">
        <f>RBBD!O4</f>
        <v>0</v>
      </c>
      <c r="U19" s="1239">
        <f>RBBD!P4</f>
        <v>0</v>
      </c>
      <c r="V19" s="1239">
        <f>RBBD!Q4</f>
        <v>0</v>
      </c>
      <c r="W19" s="1239">
        <f>RBBD!R4</f>
        <v>0</v>
      </c>
      <c r="X19" s="1239">
        <f>RBBD!S4</f>
        <v>0</v>
      </c>
      <c r="Y19" s="1239">
        <f>RBBD!T4</f>
        <v>0</v>
      </c>
      <c r="Z19" s="65"/>
      <c r="AA19" s="324">
        <f t="shared" si="1"/>
        <v>0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1165</v>
      </c>
      <c r="D62" s="1241"/>
      <c r="E62" s="1241" t="e">
        <f>SUM(I18:I61)/SUM(M18:M61)</f>
        <v>#DIV/0!</v>
      </c>
      <c r="F62" s="1241" t="e">
        <f>SUM(J18:J61)/SUM(M18:M61)</f>
        <v>#DIV/0!</v>
      </c>
      <c r="G62" s="1241" t="e">
        <f>SUM(K18:K61)/SUM(M18:M61)</f>
        <v>#DIV/0!</v>
      </c>
      <c r="H62" s="1241" t="e">
        <f>SUM(L18:L61)/SUM(M18:M61)</f>
        <v>#DIV/0!</v>
      </c>
      <c r="I62" s="1242">
        <f>SUM(I16:I61)</f>
        <v>0</v>
      </c>
      <c r="J62" s="1242">
        <f>SUM(J16:J61)</f>
        <v>0</v>
      </c>
      <c r="K62" s="1242">
        <f>SUM(K16:K61)</f>
        <v>0</v>
      </c>
      <c r="L62" s="1242">
        <f>SUM(L16:L61)</f>
        <v>0</v>
      </c>
      <c r="M62" s="1242">
        <f>SUM(M17:M61)</f>
        <v>0</v>
      </c>
      <c r="N62" s="1242">
        <f>SUM(N18:N61)</f>
        <v>0</v>
      </c>
      <c r="O62" s="1242">
        <f t="shared" ref="O62:Y62" si="6">SUM(O18:O61)</f>
        <v>0</v>
      </c>
      <c r="P62" s="1242">
        <f t="shared" si="6"/>
        <v>0</v>
      </c>
      <c r="Q62" s="1242">
        <f t="shared" si="6"/>
        <v>0</v>
      </c>
      <c r="R62" s="1242">
        <f t="shared" si="6"/>
        <v>0</v>
      </c>
      <c r="S62" s="1242">
        <f t="shared" si="6"/>
        <v>0</v>
      </c>
      <c r="T62" s="1242">
        <f t="shared" si="6"/>
        <v>0</v>
      </c>
      <c r="U62" s="1242">
        <f t="shared" si="6"/>
        <v>0</v>
      </c>
      <c r="V62" s="1242">
        <f t="shared" si="6"/>
        <v>0</v>
      </c>
      <c r="W62" s="1242">
        <f t="shared" si="6"/>
        <v>0</v>
      </c>
      <c r="X62" s="1242">
        <f t="shared" si="6"/>
        <v>0</v>
      </c>
      <c r="Y62" s="1242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1166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0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1168</v>
      </c>
      <c r="D71" s="1246">
        <f>SUM(E71:P71)</f>
        <v>0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0</v>
      </c>
      <c r="P71" s="1247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1169</v>
      </c>
      <c r="D72" s="1246">
        <f>SUM(E72:P72)</f>
        <v>0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0</v>
      </c>
      <c r="P72" s="124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7" t="s">
        <v>1170</v>
      </c>
      <c r="K74" s="1818"/>
      <c r="L74" s="1819" t="s">
        <v>1171</v>
      </c>
      <c r="M74" s="1819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0" t="s">
        <v>1153</v>
      </c>
      <c r="D75" s="1821"/>
      <c r="F75" s="270"/>
      <c r="G75" s="1248" t="s">
        <v>646</v>
      </c>
      <c r="H75" s="1249" t="s">
        <v>1172</v>
      </c>
      <c r="I75" s="1249" t="s">
        <v>1173</v>
      </c>
      <c r="J75" s="1250" t="s">
        <v>1174</v>
      </c>
      <c r="K75" s="1250" t="s">
        <v>1175</v>
      </c>
      <c r="L75" s="1250" t="s">
        <v>1174</v>
      </c>
      <c r="M75" s="1250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1177</v>
      </c>
      <c r="D76" s="1251">
        <f>IF(D18="Ponta",B18,0)</f>
        <v>0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3">
        <f>IF(MONTH(DataRevRea)=7,'Rede Básica + Ajuste'!J76,IF(G76&lt;$Q$69,(SUMIFS($E$18:$E$60,$B$18:$B$60,$D$76,$D$18:$D$60,"Ponta")),(SUMIFS($F$18:$F$60,$B$18:$B$60,$D$76,$D$18:$D$60,"Ponta"))))</f>
        <v>0</v>
      </c>
      <c r="M76" s="1253">
        <f>IF(MONTH(DataRevRea)=7,'Rede Básica + Ajuste'!K76,IF(G76&lt;$Q$69,(SUMIFS($E$18:$E$60,$B$18:$B$60,$D$76,$D$18:$D$60,"Fora Ponta")),(SUMIFS($F$18:$F$60,$B$18:$B$60,$D$76,$D$18:$D$60,"Fora Ponta"))))</f>
        <v>0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1178</v>
      </c>
      <c r="E78" s="1256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0</v>
      </c>
      <c r="E79" s="1258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1180</v>
      </c>
      <c r="D80" s="1258">
        <f>SUMPRODUCT(H76:H87,L76:L87)</f>
        <v>0</v>
      </c>
      <c r="E80" s="1258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0</v>
      </c>
      <c r="I87" s="1260">
        <f>SUMIFS($Y$18:$Y$60,$B$18:$B$60,$D$76,$D$18:$D$60,"Fora Ponta")</f>
        <v>0</v>
      </c>
      <c r="J87" s="1260">
        <f t="shared" si="9"/>
        <v>0</v>
      </c>
      <c r="K87" s="1260">
        <f t="shared" si="10"/>
        <v>0</v>
      </c>
      <c r="L87" s="1260">
        <f>IF(MONTH(DataRevRea)=7,'Rede Básica + Ajuste'!J87,IF(G87&lt;$Q$69,(SUMIFS($E$18:$E$60,$B$18:$B$60,$D$76,$D$18:$D$60,"Ponta")),(SUMIFS($F$18:$F$60,$B$18:$B$60,$D$76,$D$18:$D$60,"Ponta"))))</f>
        <v>0</v>
      </c>
      <c r="M87" s="1260">
        <f>IF(MONTH(DataRevRea)=7,'Rede Básica + Ajuste'!K87,IF(G87&lt;$Q$69,(SUMIFS($E$18:$E$60,$B$18:$B$60,$D$76,$D$18:$D$60,"Fora Ponta")),(SUMIFS($F$18:$F$60,$B$18:$B$60,$D$76,$D$18:$D$60,"Fora Ponta"))))</f>
        <v>0</v>
      </c>
      <c r="N87" s="1261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7" t="s">
        <v>1170</v>
      </c>
      <c r="K89" s="1818"/>
      <c r="L89" s="1819" t="s">
        <v>1171</v>
      </c>
      <c r="M89" s="1819"/>
      <c r="N89" s="278"/>
    </row>
    <row r="90" spans="2:50" ht="15.75">
      <c r="C90" s="1820" t="s">
        <v>1181</v>
      </c>
      <c r="D90" s="1821"/>
      <c r="F90" s="270"/>
      <c r="G90" s="1248" t="s">
        <v>646</v>
      </c>
      <c r="H90" s="1249" t="s">
        <v>1172</v>
      </c>
      <c r="I90" s="1249" t="s">
        <v>1173</v>
      </c>
      <c r="J90" s="1250" t="s">
        <v>1174</v>
      </c>
      <c r="K90" s="1250" t="s">
        <v>1175</v>
      </c>
      <c r="L90" s="1250" t="s">
        <v>1174</v>
      </c>
      <c r="M90" s="1250" t="s">
        <v>1175</v>
      </c>
      <c r="N90" s="277" t="s">
        <v>1176</v>
      </c>
    </row>
    <row r="91" spans="2:50" ht="15.75">
      <c r="C91" s="1245" t="s">
        <v>1177</v>
      </c>
      <c r="D91" s="1251">
        <f>IF(D18="Ponta",B18,0)</f>
        <v>0</v>
      </c>
      <c r="E91" s="18"/>
      <c r="F91" s="270"/>
      <c r="G91" s="1252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3">
        <f>IF(MONTH(DataRevRea)=7,'Rede Básica + Ajuste'!J91,IF(G91&lt;$Q$69,(SUMIFS($G$18:$G$60,$B$18:$B$60,$D$91,$D$18:$D$60,"Ponta")),(SUMIFS($H$18:$H$60,$B$18:$B$60,$D$91,$D$18:$D$60,"Ponta"))))</f>
        <v>0</v>
      </c>
      <c r="M91" s="1253">
        <f>IF(MONTH(DataRevRea)=7,'Rede Básica + Ajuste'!K91,IF(G91&lt;$Q$69,(SUMIFS($G$18:$G$60,$B$18:$B$60,$D$91,$D$18:$D$60,"Fora Ponta")),(SUMIFS($H$18:$H$60,$B$18:$B$60,$D$91,$D$18:$D$60,"Fora Ponta"))))</f>
        <v>0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5" t="s">
        <v>1178</v>
      </c>
      <c r="E93" s="1256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0</v>
      </c>
      <c r="E94" s="1258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7" t="s">
        <v>1180</v>
      </c>
      <c r="D95" s="1258">
        <f>SUMPRODUCT(H91:H102,L91:L102)</f>
        <v>0</v>
      </c>
      <c r="E95" s="1258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0</v>
      </c>
      <c r="I102" s="1260">
        <f t="shared" si="13"/>
        <v>0</v>
      </c>
      <c r="J102" s="1260">
        <f t="shared" si="14"/>
        <v>0</v>
      </c>
      <c r="K102" s="1260">
        <f t="shared" si="15"/>
        <v>0</v>
      </c>
      <c r="L102" s="1260">
        <f>IF(MONTH(DataRevRea)=7,'Rede Básica + Ajuste'!J102,IF(G102&lt;$Q$69,(SUMIFS($G$18:$G$60,$B$18:$B$60,$D$91,$D$18:$D$60,"Ponta")),(SUMIFS($H$18:$H$60,$B$18:$B$60,$D$91,$D$18:$D$60,"Ponta"))))</f>
        <v>0</v>
      </c>
      <c r="M102" s="1260">
        <f>IF(MONTH(DataRevRea)=7,'Rede Básica + Ajuste'!K102,IF(G102&lt;$Q$69,(SUMIFS($G$18:$G$60,$B$18:$B$60,$D$91,$D$18:$D$60,"Fora Ponta")),(SUMIFS($H$18:$H$60,$B$18:$B$60,$D$91,$D$18:$D$60,"Fora Ponta"))))</f>
        <v>0</v>
      </c>
      <c r="N102" s="1261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7" t="s">
        <v>1170</v>
      </c>
      <c r="K104" s="1818"/>
      <c r="L104" s="1819" t="s">
        <v>1171</v>
      </c>
      <c r="M104" s="1819"/>
      <c r="N104" s="278"/>
    </row>
    <row r="105" spans="3:14" ht="15.75">
      <c r="C105" s="1820" t="s">
        <v>1153</v>
      </c>
      <c r="D105" s="1821"/>
      <c r="F105" s="270"/>
      <c r="G105" s="1248" t="s">
        <v>646</v>
      </c>
      <c r="H105" s="1249" t="s">
        <v>1172</v>
      </c>
      <c r="I105" s="1249" t="s">
        <v>1173</v>
      </c>
      <c r="J105" s="1250" t="s">
        <v>1174</v>
      </c>
      <c r="K105" s="1250" t="s">
        <v>1175</v>
      </c>
      <c r="L105" s="1250" t="s">
        <v>1174</v>
      </c>
      <c r="M105" s="1250" t="s">
        <v>1175</v>
      </c>
      <c r="N105" s="277" t="s">
        <v>1176</v>
      </c>
    </row>
    <row r="106" spans="3:14" ht="15.75">
      <c r="C106" s="1245" t="s">
        <v>1177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1178</v>
      </c>
      <c r="E108" s="1256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1180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7" t="s">
        <v>1170</v>
      </c>
      <c r="K119" s="1818"/>
      <c r="L119" s="1819" t="s">
        <v>1171</v>
      </c>
      <c r="M119" s="1819"/>
      <c r="N119" s="278"/>
    </row>
    <row r="120" spans="3:14" ht="15.75">
      <c r="C120" s="1820" t="s">
        <v>1181</v>
      </c>
      <c r="D120" s="1821"/>
      <c r="F120" s="270"/>
      <c r="G120" s="1248" t="s">
        <v>646</v>
      </c>
      <c r="H120" s="1249" t="s">
        <v>1172</v>
      </c>
      <c r="I120" s="1249" t="s">
        <v>1173</v>
      </c>
      <c r="J120" s="1250" t="s">
        <v>1174</v>
      </c>
      <c r="K120" s="1250" t="s">
        <v>1175</v>
      </c>
      <c r="L120" s="1250" t="s">
        <v>1174</v>
      </c>
      <c r="M120" s="1250" t="s">
        <v>1175</v>
      </c>
      <c r="N120" s="277" t="s">
        <v>1176</v>
      </c>
    </row>
    <row r="121" spans="3:14" ht="15.75">
      <c r="C121" s="1245" t="s">
        <v>1177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1178</v>
      </c>
      <c r="E123" s="1256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1180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7" t="s">
        <v>1170</v>
      </c>
      <c r="K134" s="1818"/>
      <c r="L134" s="1819" t="s">
        <v>1171</v>
      </c>
      <c r="M134" s="1819"/>
      <c r="N134" s="278"/>
    </row>
    <row r="135" spans="3:14" ht="15.75">
      <c r="C135" s="1820" t="s">
        <v>1153</v>
      </c>
      <c r="D135" s="1821"/>
      <c r="F135" s="270"/>
      <c r="G135" s="1248" t="s">
        <v>646</v>
      </c>
      <c r="H135" s="1249" t="s">
        <v>1172</v>
      </c>
      <c r="I135" s="1249" t="s">
        <v>1173</v>
      </c>
      <c r="J135" s="1250" t="s">
        <v>1174</v>
      </c>
      <c r="K135" s="1250" t="s">
        <v>1175</v>
      </c>
      <c r="L135" s="1250" t="s">
        <v>1174</v>
      </c>
      <c r="M135" s="1250" t="s">
        <v>1175</v>
      </c>
      <c r="N135" s="277" t="s">
        <v>1176</v>
      </c>
    </row>
    <row r="136" spans="3:14" ht="15.75">
      <c r="C136" s="1245" t="s">
        <v>1177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1178</v>
      </c>
      <c r="E138" s="1256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1180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7" t="s">
        <v>1170</v>
      </c>
      <c r="K149" s="1818"/>
      <c r="L149" s="1819" t="s">
        <v>1171</v>
      </c>
      <c r="M149" s="1819"/>
      <c r="N149" s="278"/>
    </row>
    <row r="150" spans="3:14" ht="15.75">
      <c r="C150" s="1820" t="s">
        <v>1181</v>
      </c>
      <c r="D150" s="1821"/>
      <c r="F150" s="270"/>
      <c r="G150" s="1248" t="s">
        <v>646</v>
      </c>
      <c r="H150" s="1249" t="s">
        <v>1172</v>
      </c>
      <c r="I150" s="1249" t="s">
        <v>1173</v>
      </c>
      <c r="J150" s="1250" t="s">
        <v>1174</v>
      </c>
      <c r="K150" s="1250" t="s">
        <v>1175</v>
      </c>
      <c r="L150" s="1250" t="s">
        <v>1174</v>
      </c>
      <c r="M150" s="1250" t="s">
        <v>1175</v>
      </c>
      <c r="N150" s="277" t="s">
        <v>1176</v>
      </c>
    </row>
    <row r="151" spans="3:14" ht="15.75">
      <c r="C151" s="1245" t="s">
        <v>1177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1178</v>
      </c>
      <c r="E153" s="1256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1180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7" t="s">
        <v>1170</v>
      </c>
      <c r="K164" s="1818"/>
      <c r="L164" s="1819" t="s">
        <v>1171</v>
      </c>
      <c r="M164" s="1819"/>
      <c r="N164" s="278"/>
    </row>
    <row r="165" spans="3:14" ht="15.75">
      <c r="C165" s="1820" t="s">
        <v>1153</v>
      </c>
      <c r="D165" s="1821"/>
      <c r="F165" s="270"/>
      <c r="G165" s="1248" t="s">
        <v>646</v>
      </c>
      <c r="H165" s="1249" t="s">
        <v>1172</v>
      </c>
      <c r="I165" s="1249" t="s">
        <v>1173</v>
      </c>
      <c r="J165" s="1250" t="s">
        <v>1174</v>
      </c>
      <c r="K165" s="1250" t="s">
        <v>1175</v>
      </c>
      <c r="L165" s="1250" t="s">
        <v>1174</v>
      </c>
      <c r="M165" s="1250" t="s">
        <v>1175</v>
      </c>
      <c r="N165" s="277" t="s">
        <v>1176</v>
      </c>
    </row>
    <row r="166" spans="3:14" ht="15.75">
      <c r="C166" s="1245" t="s">
        <v>1177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1178</v>
      </c>
      <c r="E168" s="1256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1180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7" t="s">
        <v>1170</v>
      </c>
      <c r="K179" s="1818"/>
      <c r="L179" s="1819" t="s">
        <v>1171</v>
      </c>
      <c r="M179" s="1819"/>
      <c r="N179" s="278"/>
    </row>
    <row r="180" spans="3:14" ht="15.75">
      <c r="C180" s="1820" t="s">
        <v>1181</v>
      </c>
      <c r="D180" s="1821"/>
      <c r="F180" s="270"/>
      <c r="G180" s="1248" t="s">
        <v>646</v>
      </c>
      <c r="H180" s="1249" t="s">
        <v>1172</v>
      </c>
      <c r="I180" s="1249" t="s">
        <v>1173</v>
      </c>
      <c r="J180" s="1250" t="s">
        <v>1174</v>
      </c>
      <c r="K180" s="1250" t="s">
        <v>1175</v>
      </c>
      <c r="L180" s="1250" t="s">
        <v>1174</v>
      </c>
      <c r="M180" s="1250" t="s">
        <v>1175</v>
      </c>
      <c r="N180" s="277" t="s">
        <v>1176</v>
      </c>
    </row>
    <row r="181" spans="3:14" ht="15.75">
      <c r="C181" s="1245" t="s">
        <v>1177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1178</v>
      </c>
      <c r="E183" s="1256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1180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7" t="s">
        <v>1170</v>
      </c>
      <c r="K194" s="1818"/>
      <c r="L194" s="1819" t="s">
        <v>1171</v>
      </c>
      <c r="M194" s="1819"/>
      <c r="N194" s="278"/>
    </row>
    <row r="195" spans="3:14" ht="15.75">
      <c r="C195" s="1820" t="s">
        <v>1153</v>
      </c>
      <c r="D195" s="1821"/>
      <c r="F195" s="270"/>
      <c r="G195" s="1248" t="s">
        <v>646</v>
      </c>
      <c r="H195" s="1249" t="s">
        <v>1172</v>
      </c>
      <c r="I195" s="1249" t="s">
        <v>1173</v>
      </c>
      <c r="J195" s="1250" t="s">
        <v>1174</v>
      </c>
      <c r="K195" s="1250" t="s">
        <v>1175</v>
      </c>
      <c r="L195" s="1250" t="s">
        <v>1174</v>
      </c>
      <c r="M195" s="1250" t="s">
        <v>1175</v>
      </c>
      <c r="N195" s="277" t="s">
        <v>1176</v>
      </c>
    </row>
    <row r="196" spans="3:14" ht="15.75">
      <c r="C196" s="1245" t="s">
        <v>1177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1178</v>
      </c>
      <c r="E198" s="1256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1180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7" t="s">
        <v>1170</v>
      </c>
      <c r="K209" s="1818"/>
      <c r="L209" s="1819" t="s">
        <v>1171</v>
      </c>
      <c r="M209" s="1819"/>
      <c r="N209" s="278"/>
    </row>
    <row r="210" spans="3:14" ht="15.75">
      <c r="C210" s="1820" t="s">
        <v>1181</v>
      </c>
      <c r="D210" s="1821"/>
      <c r="F210" s="270"/>
      <c r="G210" s="1248" t="s">
        <v>646</v>
      </c>
      <c r="H210" s="1249" t="s">
        <v>1172</v>
      </c>
      <c r="I210" s="1249" t="s">
        <v>1173</v>
      </c>
      <c r="J210" s="1250" t="s">
        <v>1174</v>
      </c>
      <c r="K210" s="1250" t="s">
        <v>1175</v>
      </c>
      <c r="L210" s="1250" t="s">
        <v>1174</v>
      </c>
      <c r="M210" s="1250" t="s">
        <v>1175</v>
      </c>
      <c r="N210" s="277" t="s">
        <v>1176</v>
      </c>
    </row>
    <row r="211" spans="3:14" ht="15.75">
      <c r="C211" s="1245" t="s">
        <v>1177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1178</v>
      </c>
      <c r="E213" s="1256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1180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21"/>
      <c r="D1" s="933"/>
      <c r="E1" s="1229"/>
      <c r="F1" s="1229"/>
      <c r="G1" s="1131" t="s">
        <v>873</v>
      </c>
      <c r="H1" s="1132">
        <f ca="1">LnkTXTIRTEco</f>
        <v>7.1900000000000006E-2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Ceraçá</v>
      </c>
      <c r="C2" s="70"/>
      <c r="D2" s="70"/>
      <c r="G2" s="120" t="s">
        <v>877</v>
      </c>
      <c r="H2" s="121">
        <f ca="1">LnkTXTIRTTotal</f>
        <v>-0.1532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3" t="s">
        <v>1188</v>
      </c>
      <c r="C5" s="1233" t="s">
        <v>1189</v>
      </c>
      <c r="D5" s="1233" t="s">
        <v>1190</v>
      </c>
      <c r="E5" s="1233" t="s">
        <v>1191</v>
      </c>
      <c r="F5" s="1233" t="s">
        <v>1192</v>
      </c>
      <c r="G5" s="1233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3" t="s">
        <v>760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8" t="s">
        <v>1209</v>
      </c>
      <c r="E12" s="1268"/>
      <c r="F12" s="1269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3" t="s">
        <v>1188</v>
      </c>
      <c r="C15" s="1233" t="s">
        <v>1189</v>
      </c>
      <c r="D15" s="1233" t="s">
        <v>1215</v>
      </c>
      <c r="E15" s="1233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3" t="s">
        <v>760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zoomScaleSheetLayoutView="124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952</v>
      </c>
      <c r="C1" s="1021"/>
      <c r="D1" s="1271"/>
      <c r="E1" s="1272"/>
      <c r="F1" s="1272"/>
      <c r="G1" s="1131" t="s">
        <v>873</v>
      </c>
      <c r="H1" s="1231">
        <f ca="1">LnkTXTIRTEco</f>
        <v>7.1900000000000006E-2</v>
      </c>
    </row>
    <row r="2" spans="1:16" ht="46.5" customHeight="1">
      <c r="B2" s="136" t="str">
        <f>CAPA!C9</f>
        <v>Ceraçá</v>
      </c>
      <c r="C2" s="70"/>
      <c r="D2" s="70"/>
      <c r="G2" s="120" t="s">
        <v>877</v>
      </c>
      <c r="H2" s="146">
        <f ca="1">LnkTXTIRTTotal</f>
        <v>-0.1532</v>
      </c>
      <c r="I2" s="90" t="s">
        <v>1231</v>
      </c>
    </row>
    <row r="3" spans="1:16">
      <c r="B3" s="1273" t="s">
        <v>1232</v>
      </c>
      <c r="C3" s="1274">
        <f>SUMPRODUCT(J6:J44,H6:H44)</f>
        <v>10275212.197579999</v>
      </c>
      <c r="D3" s="73"/>
      <c r="E3" s="1273" t="s">
        <v>1123</v>
      </c>
      <c r="F3" s="68" t="s">
        <v>1233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817</v>
      </c>
      <c r="G5" s="1277" t="s">
        <v>1235</v>
      </c>
      <c r="H5" s="1277" t="s">
        <v>60</v>
      </c>
      <c r="I5" s="1277" t="s">
        <v>1124</v>
      </c>
      <c r="J5" s="1277" t="s">
        <v>1125</v>
      </c>
      <c r="L5" s="68"/>
      <c r="M5" s="69"/>
    </row>
    <row r="6" spans="1:16">
      <c r="A6" s="68">
        <v>5697</v>
      </c>
      <c r="B6" s="147" t="s">
        <v>2201</v>
      </c>
      <c r="C6" s="147" t="s">
        <v>2359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257266</v>
      </c>
      <c r="H6" s="147">
        <f>IF(B6="","",IF(LEFT(D6,7)="Demanda",G6,G6/1000))</f>
        <v>257266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2359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227692</v>
      </c>
      <c r="H7" s="147">
        <f t="shared" ref="H7:H30" si="3">IF(B7="","",IF(LEFT(D7,7)="Demanda",G7,G7/1000))</f>
        <v>227692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2201</v>
      </c>
      <c r="C8" s="147" t="s">
        <v>2359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89842745</v>
      </c>
      <c r="H8" s="147">
        <f t="shared" si="3"/>
        <v>89842.744999999995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2201</v>
      </c>
      <c r="C9" s="147" t="s">
        <v>2359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10123948</v>
      </c>
      <c r="H9" s="147">
        <f t="shared" si="3"/>
        <v>10123.948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19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G17" zoomScaleNormal="100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743</v>
      </c>
      <c r="C1" s="1228"/>
      <c r="D1" s="1228"/>
      <c r="E1" s="1228"/>
      <c r="F1" s="933"/>
      <c r="G1" s="933"/>
      <c r="H1" s="1131" t="s">
        <v>873</v>
      </c>
      <c r="I1" s="1132">
        <f ca="1">LnkTXTIRTEco</f>
        <v>7.1900000000000006E-2</v>
      </c>
      <c r="J1" s="193"/>
      <c r="K1" s="194"/>
    </row>
    <row r="2" spans="1:15" s="195" customFormat="1" ht="27" customHeight="1">
      <c r="B2" s="136" t="str">
        <f>CAPA!C9</f>
        <v>Ceraçá</v>
      </c>
      <c r="C2" s="70"/>
      <c r="D2" s="70"/>
      <c r="E2" s="70"/>
      <c r="F2" s="70"/>
      <c r="G2" s="70"/>
      <c r="H2" s="120" t="s">
        <v>877</v>
      </c>
      <c r="I2" s="121">
        <f ca="1">LnkTXTIRTTotal</f>
        <v>-0.1532</v>
      </c>
    </row>
    <row r="3" spans="1:15">
      <c r="B3" s="936" t="s">
        <v>1240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3" t="s">
        <v>72</v>
      </c>
      <c r="F4" s="1233" t="s">
        <v>1241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105469.80913964201</v>
      </c>
      <c r="H5" s="1823" t="s">
        <v>1242</v>
      </c>
      <c r="I5" s="1823"/>
      <c r="K5" s="1823" t="s">
        <v>1243</v>
      </c>
      <c r="L5" s="1823"/>
      <c r="N5" s="1823" t="s">
        <v>1244</v>
      </c>
      <c r="O5" s="1823"/>
    </row>
    <row r="6" spans="1:15">
      <c r="B6" s="68" t="s">
        <v>40</v>
      </c>
      <c r="C6" s="80">
        <f ca="1">L14</f>
        <v>109835.60937026615</v>
      </c>
      <c r="E6" s="68" t="s">
        <v>41</v>
      </c>
      <c r="F6" s="115">
        <f>CAPA!D43</f>
        <v>5445793.9957999997</v>
      </c>
      <c r="H6" s="199" t="s">
        <v>1245</v>
      </c>
      <c r="I6" s="200">
        <f ca="1">FornecimentoE+LivreE-Calc_Mercado!C16</f>
        <v>91380.342000000033</v>
      </c>
      <c r="K6" s="504" t="s">
        <v>745</v>
      </c>
      <c r="L6" s="411">
        <f ca="1">LnkTXTER</f>
        <v>101628.07300000003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7706465.960090002</v>
      </c>
      <c r="D7" s="196"/>
      <c r="E7" s="68" t="s">
        <v>112</v>
      </c>
      <c r="F7" s="115">
        <f>CAPA!D44</f>
        <v>0</v>
      </c>
      <c r="H7" s="1278" t="s">
        <v>1247</v>
      </c>
      <c r="I7" s="1279">
        <v>14.13</v>
      </c>
      <c r="K7" s="504" t="s">
        <v>1088</v>
      </c>
      <c r="L7" s="411">
        <f ca="1">Energia!M7</f>
        <v>0</v>
      </c>
      <c r="N7" s="201" t="s">
        <v>1248</v>
      </c>
      <c r="O7" s="202">
        <f ca="1">SUM(C12+C6+C9+C10+C8)</f>
        <v>1401039.8418302666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4" t="s">
        <v>1091</v>
      </c>
      <c r="L8" s="411">
        <f ca="1">LnkTXTPerdas</f>
        <v>10075.080000000002</v>
      </c>
      <c r="N8" s="201" t="s">
        <v>717</v>
      </c>
      <c r="O8" s="264">
        <f>Resultado!D24</f>
        <v>10275212.197579999</v>
      </c>
    </row>
    <row r="9" spans="1:15">
      <c r="B9" s="68" t="s">
        <v>1249</v>
      </c>
      <c r="C9" s="809">
        <f>IFERROR(VLOOKUP("ESS/EER",TabEncargosBancoConsolidados[],2,FALSE),0)</f>
        <v>0</v>
      </c>
      <c r="D9" s="69"/>
      <c r="E9" s="68" t="s">
        <v>47</v>
      </c>
      <c r="F9" s="115">
        <f>CAPA!D46</f>
        <v>880716.71863999998</v>
      </c>
      <c r="H9" s="1823" t="s">
        <v>1250</v>
      </c>
      <c r="I9" s="1823"/>
      <c r="K9" s="504" t="s">
        <v>1251</v>
      </c>
      <c r="L9" s="411">
        <f ca="1">SUM(L6:L7,-L8)</f>
        <v>91552.993000000031</v>
      </c>
      <c r="N9" s="201" t="s">
        <v>108</v>
      </c>
      <c r="O9" s="263">
        <f ca="1">Resultado!D33</f>
        <v>12991706.553677499</v>
      </c>
    </row>
    <row r="10" spans="1:15">
      <c r="B10" s="68" t="s">
        <v>47</v>
      </c>
      <c r="C10" s="80">
        <f ca="1">IFERROR(Encargos!I7*I6,0)</f>
        <v>1291204.2324600006</v>
      </c>
      <c r="D10" s="196"/>
      <c r="E10" s="68" t="s">
        <v>49</v>
      </c>
      <c r="F10" s="115">
        <f>CAPA!D48</f>
        <v>0</v>
      </c>
      <c r="H10" s="1280" t="s">
        <v>1252</v>
      </c>
      <c r="I10" s="1281">
        <f ca="1">FornecimentoE_A1+Calc_Mercado!C10+Calc_Mercado!C11+Calc_Mercado!C114+Calc_Mercado!C115</f>
        <v>0</v>
      </c>
      <c r="K10" s="504" t="s">
        <v>1253</v>
      </c>
      <c r="L10" s="411">
        <f ca="1">SUM(L6:L7)</f>
        <v>101628.07300000003</v>
      </c>
      <c r="N10" s="201" t="s">
        <v>1254</v>
      </c>
      <c r="O10" s="202">
        <f>Resultado!D39</f>
        <v>26000000</v>
      </c>
    </row>
    <row r="11" spans="1:15">
      <c r="B11" s="68" t="s">
        <v>1255</v>
      </c>
      <c r="C11" s="80">
        <v>1E-4</v>
      </c>
      <c r="D11" s="196"/>
      <c r="E11" s="785" t="s">
        <v>2037</v>
      </c>
      <c r="F11" s="1153">
        <f>CAPA!D47</f>
        <v>0</v>
      </c>
      <c r="H11" s="199" t="s">
        <v>1256</v>
      </c>
      <c r="I11" s="139">
        <f ca="1">Calc_Mercado!C12+Calc_Mercado!C13+Calc_Mercado!C14+Calc_Mercado!C116+Calc_Mercado!C117</f>
        <v>32076.109000000015</v>
      </c>
      <c r="K11" s="504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5.0667958593087757E-7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1259</v>
      </c>
      <c r="I12" s="139">
        <f ca="1">FornecimentoE_BT-Calc_Mercado!C16+Calc_Mercado!C119+Calc_Mercado!C118</f>
        <v>59304.233000000015</v>
      </c>
      <c r="K12" s="504" t="s">
        <v>1260</v>
      </c>
      <c r="L12" s="45">
        <v>4.0000000000000001E-3</v>
      </c>
      <c r="N12" s="201" t="s">
        <v>1261</v>
      </c>
      <c r="O12" s="203">
        <f ca="1">Financeiros!D7</f>
        <v>-12260875.528920548</v>
      </c>
    </row>
    <row r="13" spans="1:15">
      <c r="B13" s="1282" t="s">
        <v>769</v>
      </c>
      <c r="C13" s="1283">
        <f ca="1">SUM(C6:C12)</f>
        <v>9107505.8020202685</v>
      </c>
      <c r="D13" s="196"/>
      <c r="E13" s="1233" t="s">
        <v>72</v>
      </c>
      <c r="F13" s="1233" t="s">
        <v>1241</v>
      </c>
      <c r="H13" s="1284" t="s">
        <v>1262</v>
      </c>
      <c r="I13" s="1285">
        <v>23.38</v>
      </c>
      <c r="K13" s="1286" t="s">
        <v>1263</v>
      </c>
      <c r="L13" s="1287">
        <f ca="1">LnkTXTIParcelaBcomSub+Energia!F19</f>
        <v>26000000</v>
      </c>
      <c r="N13" s="1288" t="s">
        <v>1264</v>
      </c>
      <c r="O13" s="1289">
        <f ca="1">O12*O6+O11</f>
        <v>3.840708306416721E-7</v>
      </c>
    </row>
    <row r="14" spans="1:15">
      <c r="E14" s="68" t="s">
        <v>40</v>
      </c>
      <c r="F14" s="1290">
        <f>BD!C37</f>
        <v>98271.217782341148</v>
      </c>
      <c r="H14" s="257" t="s">
        <v>1265</v>
      </c>
      <c r="I14" s="816">
        <v>31.67</v>
      </c>
      <c r="K14" s="1291" t="s">
        <v>40</v>
      </c>
      <c r="L14" s="1292">
        <f ca="1">L12*1/L11*L9/L10*L13</f>
        <v>109835.60937026615</v>
      </c>
    </row>
    <row r="15" spans="1:15">
      <c r="E15" s="68" t="s">
        <v>41</v>
      </c>
      <c r="F15" s="80">
        <f>BD!C35</f>
        <v>4934079.7547999993</v>
      </c>
      <c r="H15" s="1293" t="s">
        <v>1266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1267</v>
      </c>
      <c r="I16" s="1285">
        <v>55.4</v>
      </c>
      <c r="K16" s="1823" t="s">
        <v>768</v>
      </c>
      <c r="L16" s="1823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80" t="s">
        <v>2054</v>
      </c>
      <c r="L17" s="1281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661689.8915899999</v>
      </c>
      <c r="G18" s="107"/>
      <c r="H18" s="785" t="s">
        <v>1269</v>
      </c>
      <c r="I18" s="1294">
        <v>89.35</v>
      </c>
      <c r="K18" s="199" t="s">
        <v>2057</v>
      </c>
      <c r="L18" s="139">
        <f>C9-L17</f>
        <v>0</v>
      </c>
    </row>
    <row r="19" spans="2:14">
      <c r="C19" s="107"/>
      <c r="D19" s="107"/>
      <c r="E19" s="785" t="s">
        <v>49</v>
      </c>
      <c r="F19" s="1295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7706465.960090002</v>
      </c>
      <c r="K19" s="1233" t="s">
        <v>769</v>
      </c>
      <c r="L19" s="1459">
        <f>SUM(L17:L18)</f>
        <v>0</v>
      </c>
    </row>
    <row r="20" spans="2:14">
      <c r="C20" s="107"/>
      <c r="D20" s="107"/>
      <c r="F20" s="80"/>
      <c r="G20" s="107"/>
      <c r="H20" s="1296" t="s">
        <v>1271</v>
      </c>
      <c r="I20" s="1297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3" t="s">
        <v>2058</v>
      </c>
      <c r="I22" s="1459">
        <f ca="1">I19+I20+I21</f>
        <v>7706465.960090002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1272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3" t="s">
        <v>2081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5" t="s">
        <v>2082</v>
      </c>
      <c r="I30" s="1465" t="s">
        <v>2090</v>
      </c>
      <c r="J30" s="1233" t="s">
        <v>1274</v>
      </c>
      <c r="L30" s="1822" t="s">
        <v>1275</v>
      </c>
      <c r="M30" s="1822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0</v>
      </c>
      <c r="D31" s="1144">
        <f ca="1">IF(CAPA!$C$113="Não",D47-D62,IF(Indexador!$B68&lt;CAPA!$C$114,0,D47-D62))</f>
        <v>0</v>
      </c>
      <c r="E31" s="1144">
        <f ca="1">IF(CAPA!$C$113="Não",E47-E62,IF(Indexador!$B68&lt;CAPA!$C$114,0,E47-E62))</f>
        <v>298.23596935973546</v>
      </c>
      <c r="F31" s="1144">
        <f ca="1">IF(CAPA!$C$113="Não",F47-F62,IF(Indexador!$B68&lt;CAPA!$C$114,0,F47-F62))</f>
        <v>11060.047376576287</v>
      </c>
      <c r="G31" s="1144">
        <f ca="1">IF(CAPA!$C$113="Não",G47-G62,IF(Indexador!$B68&lt;CAPA!$C$114,0,G47-G62))</f>
        <v>1618.9983105130232</v>
      </c>
      <c r="H31" s="1144">
        <f ca="1">IF(CAPA!$C$113="Não",H47-H62,IF(Indexador!$B68&lt;CAPA!$C$114,0,H47-H62))</f>
        <v>0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12977.281656449079</v>
      </c>
      <c r="L31" s="68" t="s">
        <v>40</v>
      </c>
      <c r="M31" s="115">
        <f ca="1">Indexador!H80</f>
        <v>4204.1088071347203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562.09941965003418</v>
      </c>
      <c r="F32" s="115">
        <f ca="1">IF(CAPA!$C$113="Não",F48-F63,IF(Indexador!$B69&lt;CAPA!$C$114,0,F48-F63))</f>
        <v>26284.82445998647</v>
      </c>
      <c r="G32" s="115">
        <f ca="1">IF(CAPA!$C$113="Não",G48-G63,IF(Indexador!$B69&lt;CAPA!$C$114,0,G48-G63))</f>
        <v>4141.5275568869401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30988.451436523465</v>
      </c>
      <c r="L32" s="68" t="s">
        <v>41</v>
      </c>
      <c r="M32" s="115">
        <f ca="1">Indexador!J80+Indexador!L80</f>
        <v>181053.9608331761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483.73117094997178</v>
      </c>
      <c r="F33" s="115">
        <f ca="1">IF(CAPA!$C$113="Não",F49-F64,IF(Indexador!$B70&lt;CAPA!$C$114,0,F49-F64))</f>
        <v>21205.120246163511</v>
      </c>
      <c r="G33" s="115">
        <f ca="1">IF(CAPA!$C$113="Não",G49-G64,IF(Indexador!$B70&lt;CAPA!$C$114,0,G49-G64))</f>
        <v>3278.8036358395038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24967.655052952992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296.73064578712547</v>
      </c>
      <c r="F34" s="115">
        <f ca="1">IF(CAPA!$C$113="Não",F50-F65,IF(Indexador!$B71&lt;CAPA!$C$114,0,F50-F65))</f>
        <v>20711.613229368872</v>
      </c>
      <c r="G34" s="115">
        <f ca="1">IF(CAPA!$C$113="Não",G50-G65,IF(Indexador!$B71&lt;CAPA!$C$114,0,G50-G65))</f>
        <v>3553.7499581203592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24562.093833276362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-953.13929122530317</v>
      </c>
      <c r="F35" s="115">
        <f ca="1">IF(CAPA!$C$113="Não",F51-F66,IF(Indexador!$B72&lt;CAPA!$C$114,0,F51-F66))</f>
        <v>-39503.230994516751</v>
      </c>
      <c r="G35" s="115">
        <f ca="1">IF(CAPA!$C$113="Não",G51-G66,IF(Indexador!$B72&lt;CAPA!$C$114,0,G51-G66))</f>
        <v>-6010.8131473651592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-46467.183433107217</v>
      </c>
      <c r="L35" s="68" t="s">
        <v>47</v>
      </c>
      <c r="M35" s="115">
        <f ca="1">Indexador!N80</f>
        <v>27576.297970177777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-864.98822881149135</v>
      </c>
      <c r="F36" s="115">
        <f ca="1">IF(CAPA!$C$113="Não",F52-F67,IF(Indexador!$B73&lt;CAPA!$C$114,0,F52-F67))</f>
        <v>-33788.99903589912</v>
      </c>
      <c r="G36" s="115">
        <f ca="1">IF(CAPA!$C$113="Não",G52-G67,IF(Indexador!$B73&lt;CAPA!$C$114,0,G52-G67))</f>
        <v>-5057.0843696323282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-39711.071634342894</v>
      </c>
      <c r="L36" s="68" t="s">
        <v>2081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-229.86045113786167</v>
      </c>
      <c r="F37" s="115">
        <f ca="1">IF(CAPA!$C$113="Não",F53-F68,IF(Indexador!$B74&lt;CAPA!$C$114,0,F53-F68))</f>
        <v>-14079.99919984478</v>
      </c>
      <c r="G37" s="115">
        <f ca="1">IF(CAPA!$C$113="Não",G53-G68,IF(Indexador!$B74&lt;CAPA!$C$114,0,G53-G68))</f>
        <v>-2383.5106756353634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-16693.370326617965</v>
      </c>
      <c r="L37" s="785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601.84176917016157</v>
      </c>
      <c r="F38" s="115">
        <f ca="1">IF(CAPA!$C$113="Não",F54-F69,IF(Indexador!$B75&lt;CAPA!$C$114,0,F54-F69))</f>
        <v>28660.580056252831</v>
      </c>
      <c r="G38" s="115">
        <f ca="1">IF(CAPA!$C$113="Não",G54-G69,IF(Indexador!$B75&lt;CAPA!$C$114,0,G54-G69))</f>
        <v>4490.3847457934316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33752.806571216439</v>
      </c>
      <c r="L38" s="71" t="s">
        <v>760</v>
      </c>
      <c r="M38" s="269">
        <f ca="1">SUM(M31:M36)</f>
        <v>212834.36761048861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1015.6820042999134</v>
      </c>
      <c r="F39" s="115">
        <f ca="1">IF(CAPA!$C$113="Não",F55-F70,IF(Indexador!$B76&lt;CAPA!$C$114,0,F55-F70))</f>
        <v>41371.407758806716</v>
      </c>
      <c r="G39" s="115">
        <f ca="1">IF(CAPA!$C$113="Não",G55-G70,IF(Indexador!$B76&lt;CAPA!$C$114,0,G55-G70))</f>
        <v>6208.4672547947703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48595.557017901447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870.67372474987769</v>
      </c>
      <c r="F40" s="115">
        <f ca="1">IF(CAPA!$C$113="Não",F56-F71,IF(Indexador!$B77&lt;CAPA!$C$114,0,F56-F71))</f>
        <v>34817.43101643672</v>
      </c>
      <c r="G40" s="115">
        <f ca="1">IF(CAPA!$C$113="Não",G56-G71,IF(Indexador!$B77&lt;CAPA!$C$114,0,G56-G71))</f>
        <v>5181.5134340770164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40869.618175263633</v>
      </c>
      <c r="L40" s="1822" t="s">
        <v>2089</v>
      </c>
      <c r="M40" s="1822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1059.9170720580341</v>
      </c>
      <c r="F41" s="115">
        <f ca="1">IF(CAPA!$C$113="Não",F57-F72,IF(Indexador!$B78&lt;CAPA!$C$114,0,F57-F72))</f>
        <v>44022.002446129161</v>
      </c>
      <c r="G41" s="115">
        <f ca="1">IF(CAPA!$C$113="Não",G57-G72,IF(Indexador!$B78&lt;CAPA!$C$114,0,G57-G72))</f>
        <v>6655.3906569280807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51737.310175115301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0</v>
      </c>
      <c r="D42" s="1153">
        <f ca="1">IF(CAPA!$C$113="Não",D58-D73,IF(Indexador!$B79&lt;CAPA!$C$114,0,D58-D73))</f>
        <v>0</v>
      </c>
      <c r="E42" s="1153">
        <f ca="1">IF(CAPA!$C$113="Não",E58-E73,IF(Indexador!$B79&lt;CAPA!$C$114,0,E58-E73))</f>
        <v>1041.5830604468038</v>
      </c>
      <c r="F42" s="1153">
        <f ca="1">IF(CAPA!$C$113="Não",F58-F73,IF(Indexador!$B79&lt;CAPA!$C$114,0,F58-F73))</f>
        <v>38769.318299254053</v>
      </c>
      <c r="G42" s="1153">
        <f ca="1">IF(CAPA!$C$113="Não",G58-G73,IF(Indexador!$B79&lt;CAPA!$C$114,0,G58-G73))</f>
        <v>5638.278077084804</v>
      </c>
      <c r="H42" s="1153">
        <f ca="1">IF(CAPA!$C$113="Não",H58-H73,IF(Indexador!$B79&lt;CAPA!$C$114,0,H58-H73))</f>
        <v>0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45449.179436785693</v>
      </c>
      <c r="L42" s="785" t="str">
        <f>I30</f>
        <v>Crédito Pis Cofins</v>
      </c>
      <c r="M42" s="1184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3" t="s">
        <v>2081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5" t="s">
        <v>2082</v>
      </c>
      <c r="I46" s="1465" t="s">
        <v>2086</v>
      </c>
      <c r="J46" s="1233" t="s">
        <v>1276</v>
      </c>
      <c r="K46" s="140"/>
    </row>
    <row r="47" spans="2:14">
      <c r="B47" s="267">
        <f>Indexador!B37</f>
        <v>44440</v>
      </c>
      <c r="C47" s="1452">
        <f>$F$11/12</f>
        <v>0</v>
      </c>
      <c r="D47" s="1298">
        <f>$F$8/12</f>
        <v>0</v>
      </c>
      <c r="E47" s="1144">
        <f t="shared" ref="E47:E58" si="0">$F$5/12</f>
        <v>8789.1507616368344</v>
      </c>
      <c r="F47" s="115">
        <f t="shared" ref="F47:F58" si="1">$F$6/12</f>
        <v>453816.16631666664</v>
      </c>
      <c r="G47" s="115">
        <f t="shared" ref="G47:G58" si="2">$F$9/12</f>
        <v>73393.05988666667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9">
        <f>SUM(C47:G47)</f>
        <v>535998.37696497014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8789.1507616368344</v>
      </c>
      <c r="F48" s="115">
        <f t="shared" si="1"/>
        <v>453816.16631666664</v>
      </c>
      <c r="G48" s="115">
        <f t="shared" si="2"/>
        <v>73393.05988666667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535998.37696497014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8789.1507616368344</v>
      </c>
      <c r="F49" s="115">
        <f t="shared" si="1"/>
        <v>453816.16631666664</v>
      </c>
      <c r="G49" s="115">
        <f t="shared" si="2"/>
        <v>73393.05988666667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535998.37696497014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8789.1507616368344</v>
      </c>
      <c r="F50" s="115">
        <f t="shared" si="1"/>
        <v>453816.16631666664</v>
      </c>
      <c r="G50" s="115">
        <f t="shared" si="2"/>
        <v>73393.05988666667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535998.37696497014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8789.1507616368344</v>
      </c>
      <c r="F51" s="115">
        <f t="shared" si="1"/>
        <v>453816.16631666664</v>
      </c>
      <c r="G51" s="115">
        <f t="shared" si="2"/>
        <v>73393.05988666667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535998.37696497014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8789.1507616368344</v>
      </c>
      <c r="F52" s="115">
        <f t="shared" si="1"/>
        <v>453816.16631666664</v>
      </c>
      <c r="G52" s="115">
        <f t="shared" si="2"/>
        <v>73393.05988666667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535998.37696497014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8789.1507616368344</v>
      </c>
      <c r="F53" s="115">
        <f t="shared" si="1"/>
        <v>453816.16631666664</v>
      </c>
      <c r="G53" s="115">
        <f t="shared" si="2"/>
        <v>73393.05988666667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535998.37696497014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8789.1507616368344</v>
      </c>
      <c r="F54" s="115">
        <f t="shared" si="1"/>
        <v>453816.16631666664</v>
      </c>
      <c r="G54" s="115">
        <f t="shared" si="2"/>
        <v>73393.05988666667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535998.37696497014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8789.1507616368344</v>
      </c>
      <c r="F55" s="115">
        <f t="shared" si="1"/>
        <v>453816.16631666664</v>
      </c>
      <c r="G55" s="115">
        <f t="shared" si="2"/>
        <v>73393.05988666667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535998.37696497014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8789.1507616368344</v>
      </c>
      <c r="F56" s="115">
        <f t="shared" si="1"/>
        <v>453816.16631666664</v>
      </c>
      <c r="G56" s="115">
        <f t="shared" si="2"/>
        <v>73393.05988666667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535998.37696497014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8789.1507616368344</v>
      </c>
      <c r="F57" s="115">
        <f t="shared" si="1"/>
        <v>453816.16631666664</v>
      </c>
      <c r="G57" s="115">
        <f t="shared" si="2"/>
        <v>73393.05988666667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535998.37696497014</v>
      </c>
    </row>
    <row r="58" spans="2:12">
      <c r="B58" s="267">
        <f>Indexador!B48</f>
        <v>44774</v>
      </c>
      <c r="C58" s="1153">
        <f t="shared" si="3"/>
        <v>0</v>
      </c>
      <c r="D58" s="1300">
        <f t="shared" si="4"/>
        <v>0</v>
      </c>
      <c r="E58" s="1153">
        <f t="shared" si="0"/>
        <v>8789.1507616368344</v>
      </c>
      <c r="F58" s="1153">
        <f t="shared" si="1"/>
        <v>453816.16631666664</v>
      </c>
      <c r="G58" s="1153">
        <f t="shared" si="2"/>
        <v>73393.05988666667</v>
      </c>
      <c r="H58" s="1153">
        <f>IFERROR((VLOOKUP("Parcela B",TabFinanCovid[],4,FALSE)/12),0)</f>
        <v>0</v>
      </c>
      <c r="I58" s="1153">
        <f>IFERROR(VLOOKUP("Créditos de Pis/Cofins",TabFinanNeutralidade[[#All],[Detalhe_Grupo_TARIFA]:[valor]],2,FALSE)/12,0)</f>
        <v>0</v>
      </c>
      <c r="J58" s="1301">
        <f t="shared" si="5"/>
        <v>535998.37696497014</v>
      </c>
    </row>
    <row r="60" spans="2:12">
      <c r="C60" s="68" t="s">
        <v>1277</v>
      </c>
      <c r="L60" s="196">
        <v>42491</v>
      </c>
    </row>
    <row r="61" spans="2:12" ht="28.5">
      <c r="C61" s="1453" t="s">
        <v>2081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5" t="s">
        <v>2082</v>
      </c>
      <c r="I61" s="1465" t="s">
        <v>2084</v>
      </c>
      <c r="J61" s="1233" t="s">
        <v>1276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0</v>
      </c>
      <c r="D62" s="1302">
        <f ca="1">Calc_Mercado!F63</f>
        <v>0</v>
      </c>
      <c r="E62" s="1144">
        <f ca="1">Calc_Mercado!I63</f>
        <v>8490.914792277099</v>
      </c>
      <c r="F62" s="1290">
        <f ca="1">Calc_Mercado!H63</f>
        <v>442756.11894009035</v>
      </c>
      <c r="G62" s="1290">
        <f ca="1">Calc_Mercado!G63</f>
        <v>71774.061576153646</v>
      </c>
      <c r="H62" s="1466">
        <f ca="1">IFERROR((VLOOKUP("Parcela B",TabFinanCovid[],4,FALSE)/VLOOKUP("Parcela B",TabFinanNeutralidade[],3,FALSE))*Calc_Mercado!T63,0)</f>
        <v>0</v>
      </c>
      <c r="I62" s="1466">
        <f ca="1">Calc_Mercado!U63</f>
        <v>0</v>
      </c>
      <c r="J62" s="1299">
        <f t="shared" ref="J62:J73" ca="1" si="7">SUM(C62:G62)</f>
        <v>523021.09530852106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8227.0513419868003</v>
      </c>
      <c r="F63" s="80">
        <f ca="1">Calc_Mercado!H64</f>
        <v>427531.34185668017</v>
      </c>
      <c r="G63" s="80">
        <f ca="1">Calc_Mercado!G64</f>
        <v>69251.532329779729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505009.92552844668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8305.4195906868626</v>
      </c>
      <c r="F64" s="80">
        <f ca="1">Calc_Mercado!H65</f>
        <v>432611.04607050313</v>
      </c>
      <c r="G64" s="80">
        <f ca="1">Calc_Mercado!G65</f>
        <v>70114.256250827166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511030.72191201715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8492.420115849709</v>
      </c>
      <c r="F65" s="80">
        <f ca="1">Calc_Mercado!H66</f>
        <v>433104.55308729777</v>
      </c>
      <c r="G65" s="80">
        <f ca="1">Calc_Mercado!G66</f>
        <v>69839.30992854631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511436.28313169378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9742.2900528621376</v>
      </c>
      <c r="F66" s="80">
        <f ca="1">Calc_Mercado!H67</f>
        <v>493319.39731118339</v>
      </c>
      <c r="G66" s="80">
        <f ca="1">Calc_Mercado!G67</f>
        <v>79403.873034031829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582465.56039807736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9654.1389904483258</v>
      </c>
      <c r="F67" s="80">
        <f ca="1">Calc_Mercado!H68</f>
        <v>487605.16535256576</v>
      </c>
      <c r="G67" s="80">
        <f ca="1">Calc_Mercado!G68</f>
        <v>78450.144256298998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575709.44859931304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9019.0112127746961</v>
      </c>
      <c r="F68" s="80">
        <f ca="1">Calc_Mercado!H69</f>
        <v>467896.16551651142</v>
      </c>
      <c r="G68" s="80">
        <f ca="1">Calc_Mercado!G69</f>
        <v>75776.570562302033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552691.74729158811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8187.3089924666729</v>
      </c>
      <c r="F69" s="80">
        <f ca="1">Calc_Mercado!H70</f>
        <v>425155.58626041381</v>
      </c>
      <c r="G69" s="80">
        <f ca="1">Calc_Mercado!G70</f>
        <v>68902.675140873238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502245.5703937537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7773.468757336921</v>
      </c>
      <c r="F70" s="80">
        <f ca="1">Calc_Mercado!H71</f>
        <v>412444.75855785992</v>
      </c>
      <c r="G70" s="80">
        <f ca="1">Calc_Mercado!G71</f>
        <v>67184.592631871899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487402.8199470687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7918.4770368869567</v>
      </c>
      <c r="F71" s="80">
        <f ca="1">Calc_Mercado!H72</f>
        <v>418998.73530022992</v>
      </c>
      <c r="G71" s="80">
        <f ca="1">Calc_Mercado!G72</f>
        <v>68211.546452589653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495128.75878970651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7729.2336895788003</v>
      </c>
      <c r="F72" s="80">
        <f ca="1">Calc_Mercado!H73</f>
        <v>409794.16387053748</v>
      </c>
      <c r="G72" s="80">
        <f ca="1">Calc_Mercado!G73</f>
        <v>66737.669229738589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484261.06678985484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0</v>
      </c>
      <c r="D73" s="1303">
        <f ca="1">Calc_Mercado!F74</f>
        <v>0</v>
      </c>
      <c r="E73" s="1153">
        <f ca="1">Calc_Mercado!I74</f>
        <v>7747.5677011900307</v>
      </c>
      <c r="F73" s="1295">
        <f ca="1">Calc_Mercado!H74</f>
        <v>415046.84801741259</v>
      </c>
      <c r="G73" s="1295">
        <f ca="1">Calc_Mercado!G74</f>
        <v>67754.781809581866</v>
      </c>
      <c r="H73" s="1295">
        <f ca="1">IFERROR((VLOOKUP("Parcela B",TabFinanCovid[],4,FALSE)/VLOOKUP("Parcela B",TabFinanNeutralidade[],3,FALSE))*Calc_Mercado!T74,0)</f>
        <v>0</v>
      </c>
      <c r="I73" s="1295">
        <f ca="1">Calc_Mercado!U74</f>
        <v>0</v>
      </c>
      <c r="J73" s="1301">
        <f t="shared" ca="1" si="7"/>
        <v>490549.19752818445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zoomScaleNormal="100" workbookViewId="0"/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268.66831514110498</v>
      </c>
      <c r="AE6" s="23">
        <f>SMALL(Q41:Q42,1)</f>
        <v>328.54396242569004</v>
      </c>
    </row>
    <row r="7" spans="2:49" ht="18.75" customHeight="1">
      <c r="B7" s="299" t="s">
        <v>735</v>
      </c>
      <c r="K7" s="1052" t="s">
        <v>736</v>
      </c>
      <c r="L7" s="1052" t="s">
        <v>737</v>
      </c>
      <c r="S7" s="1833" t="s">
        <v>738</v>
      </c>
      <c r="T7" s="1833"/>
      <c r="U7" s="1833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5.3005912821460867E-2</v>
      </c>
      <c r="S8" s="47" t="s">
        <v>744</v>
      </c>
      <c r="T8" s="364">
        <f ca="1">U8/$U$15</f>
        <v>0.31726846064293951</v>
      </c>
      <c r="U8" s="56">
        <f>AU239</f>
        <v>26000000</v>
      </c>
      <c r="V8" s="61" t="s">
        <v>192</v>
      </c>
      <c r="W8" s="62">
        <f ca="1">T12</f>
        <v>0.25319214403612694</v>
      </c>
      <c r="X8" s="62">
        <f ca="1">W8/(1-$W$10)</f>
        <v>0.35544635134110597</v>
      </c>
    </row>
    <row r="9" spans="2:49" ht="15" customHeight="1">
      <c r="B9" s="301" t="s">
        <v>745</v>
      </c>
      <c r="K9" s="360" t="s">
        <v>717</v>
      </c>
      <c r="L9" s="361">
        <f ca="1">Resultado!E24</f>
        <v>1.811908973021022E-2</v>
      </c>
      <c r="S9" s="47" t="s">
        <v>746</v>
      </c>
      <c r="T9" s="364">
        <f ca="1">U9/$U$15</f>
        <v>0.15853302843884803</v>
      </c>
      <c r="U9" s="56">
        <f ca="1">AU230</f>
        <v>12991706.553677499</v>
      </c>
      <c r="V9" s="47" t="s">
        <v>747</v>
      </c>
      <c r="W9" s="57">
        <f ca="1">T13</f>
        <v>3.4486170621406985E-2</v>
      </c>
      <c r="X9" s="62">
        <f ca="1">W9/(1-$W$10)</f>
        <v>4.8413759304304929E-2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-2.1419733765713524E-2</v>
      </c>
      <c r="S10" s="47" t="s">
        <v>750</v>
      </c>
      <c r="T10" s="364">
        <f ca="1">U10/$U$15</f>
        <v>0.12538464448868314</v>
      </c>
      <c r="U10" s="56">
        <f>AU232</f>
        <v>10275212.197579999</v>
      </c>
      <c r="V10" s="1053" t="s">
        <v>751</v>
      </c>
      <c r="W10" s="1054">
        <f ca="1">SUM(W8:W9)</f>
        <v>0.28767831465753391</v>
      </c>
      <c r="X10" s="1054">
        <f ca="1">SUM(X8:X9)</f>
        <v>0.40386011064541089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2.2226897002796359E-2</v>
      </c>
      <c r="S11" s="1055" t="s">
        <v>743</v>
      </c>
      <c r="T11" s="1056">
        <f ca="1">U11/$U$15</f>
        <v>0.11113555177199554</v>
      </c>
      <c r="U11" s="1057">
        <f ca="1">AU219</f>
        <v>9107505.8019202687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-0.22509999999999999</v>
      </c>
      <c r="S12" s="47" t="s">
        <v>192</v>
      </c>
      <c r="T12" s="57">
        <f ca="1">Calc_Mercado!J8</f>
        <v>0.25319214403612694</v>
      </c>
      <c r="U12" s="56">
        <f ca="1">T12*U15</f>
        <v>20748976.219063703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0.25069999999999998</v>
      </c>
      <c r="S13" s="47" t="s">
        <v>755</v>
      </c>
      <c r="T13" s="58">
        <f ca="1">Calc_Mercado!J9</f>
        <v>3.4486170621406985E-2</v>
      </c>
      <c r="U13" s="56">
        <f ca="1">T13*U15</f>
        <v>2826125.3398448555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9.7521035077307694E-2</v>
      </c>
      <c r="S14" s="47" t="s">
        <v>758</v>
      </c>
      <c r="T14" s="364">
        <f ca="1">SUM(T12:T13)</f>
        <v>0.28767831465753391</v>
      </c>
      <c r="U14" s="56">
        <f ca="1">SUM(U12:U13)</f>
        <v>23575101.558908559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3" t="s">
        <v>760</v>
      </c>
      <c r="T15" s="1058">
        <f ca="1">SUM(T8:T11)+T14</f>
        <v>1</v>
      </c>
      <c r="U15" s="1059">
        <f ca="1">SUM(U8:U11)/(1-T14)</f>
        <v>81949526.112086311</v>
      </c>
      <c r="V15" s="633"/>
      <c r="AC15" s="23" t="s">
        <v>761</v>
      </c>
      <c r="AD15" s="413">
        <f ca="1">Resultado!C39</f>
        <v>24789585.420093939</v>
      </c>
      <c r="AE15" s="413">
        <f ca="1">Resultado!C33</f>
        <v>14158165.283587661</v>
      </c>
      <c r="AF15" s="413">
        <f ca="1">Resultado!C24</f>
        <v>9288497.3007001765</v>
      </c>
      <c r="AG15" s="413">
        <f ca="1">Resultado!C14</f>
        <v>6220952.1956182271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26000000</v>
      </c>
      <c r="AE16" s="413">
        <f ca="1">Resultado!D33</f>
        <v>12991706.553677499</v>
      </c>
      <c r="AF16" s="413">
        <f>Resultado!D24</f>
        <v>10275212.197579999</v>
      </c>
      <c r="AG16" s="413">
        <f ca="1">Resultado!D14</f>
        <v>9107505.8019202687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1" t="s">
        <v>765</v>
      </c>
      <c r="T20" s="1831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0.44540053626249615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0.22255819484511324</v>
      </c>
      <c r="AL22" s="353"/>
      <c r="AO22" s="353"/>
      <c r="AP22" s="353"/>
      <c r="AQ22" s="353"/>
      <c r="AR22" s="353"/>
      <c r="AS22" s="353"/>
    </row>
    <row r="23" spans="2:46" ht="15" customHeight="1">
      <c r="L23" s="25"/>
      <c r="S23" s="47" t="s">
        <v>750</v>
      </c>
      <c r="T23" s="55">
        <f ca="1">AX232</f>
        <v>0.1760225008851182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L24" s="25"/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2.2119348367772653E-2</v>
      </c>
      <c r="AL26" s="353"/>
    </row>
    <row r="27" spans="2:46" ht="15" customHeight="1">
      <c r="S27" s="47" t="s">
        <v>41</v>
      </c>
      <c r="T27" s="55">
        <f ca="1">AX223</f>
        <v>0.13201784889664459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1.8815707428551766E-3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769</v>
      </c>
      <c r="T31" s="1061">
        <f ca="1">SUM(T21:T30)</f>
        <v>1</v>
      </c>
    </row>
    <row r="36" spans="1:36" ht="15" customHeight="1">
      <c r="N36" s="632" t="s">
        <v>770</v>
      </c>
      <c r="O36" s="632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704</v>
      </c>
    </row>
    <row r="39" spans="1:36" ht="15" customHeight="1">
      <c r="L39" s="65" t="str">
        <f>CAPA!C9</f>
        <v>Ceraçá</v>
      </c>
      <c r="M39" s="401">
        <f>SUMIF(TAbtarifasb1[[#All],[Sigla]],LnkTXTSigla,TAbtarifasb1[[#All],[2013]])</f>
        <v>252.23999999999998</v>
      </c>
      <c r="N39" s="401">
        <f>SUMIF(TAbtarifasb1[[#All],[Sigla]],LnkTXTSigla,TAbtarifasb1[[#All],[2014]])</f>
        <v>284.88</v>
      </c>
      <c r="O39" s="401">
        <f>SUMIF(TAbtarifasb1[[#All],[Sigla]],LnkTXTSigla,TAbtarifasb1[[#All],[2015]])</f>
        <v>353.59</v>
      </c>
      <c r="P39" s="411">
        <f>SUMIF(TAbtarifasb1[[#All],[Sigla]],LnkTXTSigla,TAbtarifasb1[[#All],[2016]])</f>
        <v>386.15</v>
      </c>
      <c r="Q39" s="411">
        <f>SUMIF(TAbtarifasb1[[#All],[Sigla]],LnkTXTSigla,TAbtarifasb1[[#All],[2017]])</f>
        <v>430.76</v>
      </c>
      <c r="R39" s="755">
        <f>SUMIF(TAbtarifasb1[[#All],[Sigla]],LnkTXTSigla,TAbtarifasb1[[#All],[2018]])</f>
        <v>470.37</v>
      </c>
      <c r="S39" s="755">
        <f>SUMIF(TAbtarifasb1[[#All],[Sigla]],LnkTXTSigla,TAbtarifasb1[[#All],[2019]])</f>
        <v>496.86</v>
      </c>
      <c r="T39" s="413">
        <f>SUMIF(TAbtarifasb1[[#All],[Sigla]],LnkTXTSigla,TAbtarifasb1[[#All],[2020]])</f>
        <v>511.66</v>
      </c>
      <c r="U39" s="413">
        <f>SUMIF(TAbtarifasb1[[#All],[Sigla]],LnkTXTSigla,TAbtarifasb1[[#All],[2021]])</f>
        <v>518.32999999999993</v>
      </c>
      <c r="V39" s="413">
        <f>Resultado!L6</f>
        <v>551.48</v>
      </c>
      <c r="W39" s="743">
        <f>V39/M39-1</f>
        <v>1.1863304789089759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3">
        <f>V40/M40-1</f>
        <v>-1</v>
      </c>
    </row>
    <row r="41" spans="1:36" ht="15" customHeight="1">
      <c r="L41" s="65" t="s">
        <v>771</v>
      </c>
      <c r="M41" s="402">
        <f>M39</f>
        <v>252.23999999999998</v>
      </c>
      <c r="N41" s="402">
        <f>VLOOKUP(DATE(YEAR(O38),MONTH(O38)-1,1),Índices!$B:$F,2,FALSE)/VLOOKUP(DATE(YEAR(Q36),MONTH(Q36)-1,1),Índices!$B:$F,2,FALSE)*M41</f>
        <v>284.55064377385997</v>
      </c>
      <c r="O41" s="402">
        <f>VLOOKUP(DATE(YEAR(O38),MONTH(O38)-1,1),Índices!$B:$F,2,FALSE)/VLOOKUP(DATE(YEAR(N38),MONTH(N38)-1,1),Índices!$B:$F,2,FALSE)*N41</f>
        <v>306.04345657677374</v>
      </c>
      <c r="P41" s="402">
        <f>VLOOKUP(DATE(YEAR(P38),MONTH(P38)-1,1),Índices!$B:$F,2,FALSE)/VLOOKUP(DATE(YEAR(O38),MONTH(O38)-1,1),Índices!$B:$F,2,FALSE)*O41</f>
        <v>341.20471364060052</v>
      </c>
      <c r="Q41" s="402">
        <f>VLOOKUP(DATE(YEAR(Q38),MONTH(Q38)-1,1),Índices!$B:$F,2,FALSE)/VLOOKUP(DATE(YEAR(P38),MONTH(P38)-1,1),Índices!$B:$F,2,FALSE)*P41</f>
        <v>335.36584237063204</v>
      </c>
      <c r="R41" s="363">
        <f>IF(R37=YEAR(CAPA!$C$114),'Tabelas e Gráficos'!R39,(VLOOKUP(DATE(YEAR(R38),MONTH(R38)-1,1),Índices!$B:$F,2,FALSE)/VLOOKUP(DATE(YEAR(Q38),MONTH(Q38)-1,1),Índices!$B:$F,2,FALSE)*Q41))</f>
        <v>365.18421214882756</v>
      </c>
      <c r="S41" s="363">
        <f>IF(S37=YEAR(CAPA!$C$114),'Tabelas e Gráficos'!S39,(VLOOKUP(DATE(YEAR(S38),MONTH(S38)-1,1),Índices!$B:$F,2,FALSE)/VLOOKUP(DATE(YEAR(R38),MONTH(R38)-1,1),Índices!$B:$F,2,FALSE)*R41))</f>
        <v>383.25666110592323</v>
      </c>
      <c r="T41" s="363">
        <f>IF(T37=YEAR(CAPA!$C$114),'Tabelas e Gráficos'!T39,(VLOOKUP(DATE(YEAR(T38),MONTH(T38)-1,1),Índices!$B:$F,2,FALSE)/VLOOKUP(DATE(YEAR(S38),MONTH(S38)-1,1),Índices!$B:$F,2,FALSE)*S41))</f>
        <v>433.17305137011346</v>
      </c>
      <c r="U41" s="402">
        <f>VLOOKUP(DATE(YEAR(U38),MONTH(U38)-1,1),Índices!$B:$F,2,FALSE)/VLOOKUP(DATE(YEAR(T38),MONTH(T38)-1,1),Índices!$B:$F,2,FALSE)*T41</f>
        <v>567.95630878009968</v>
      </c>
      <c r="V41" s="402">
        <f>VLOOKUP(DATE(YEAR(V38),MONTH(V38)-1,1),Índices!$B:$F,2,FALSE)/VLOOKUP(DATE(YEAR(U38),MONTH(U38)-1,1),Índices!$B:$F,2,FALSE)*U41</f>
        <v>616.7292816113528</v>
      </c>
      <c r="W41" s="743">
        <f>V41/M41-1</f>
        <v>1.4450098382942946</v>
      </c>
    </row>
    <row r="42" spans="1:36" ht="15" customHeight="1">
      <c r="L42" s="1066" t="s">
        <v>772</v>
      </c>
      <c r="M42" s="1068">
        <f>M39</f>
        <v>252.23999999999998</v>
      </c>
      <c r="N42" s="1068">
        <f>VLOOKUP(DATE(YEAR(N38),MONTH(N38)-1,1),Índices!$B:$F,3,FALSE)/VLOOKUP(DATE(YEAR(Q36),MONTH(Q36)-1,1),Índices!$B:$F,3,FALSE)*M42</f>
        <v>268.66831514110498</v>
      </c>
      <c r="O42" s="1068">
        <f>VLOOKUP(DATE(YEAR(O38),MONTH(O38)-1,1),Índices!$B:$F,3,FALSE)/VLOOKUP(DATE(YEAR(N38),MONTH(N38)-1,1),Índices!$B:$F,3,FALSE)*N42</f>
        <v>294.26025470014361</v>
      </c>
      <c r="P42" s="1068">
        <f>VLOOKUP(DATE(YEAR(P38),MONTH(P38)-1,1),Índices!$B:$F,3,FALSE)/VLOOKUP(DATE(YEAR(O38),MONTH(O38)-1,1),Índices!$B:$F,3,FALSE)*O42</f>
        <v>320.66863420067364</v>
      </c>
      <c r="Q42" s="1068">
        <f>VLOOKUP(DATE(YEAR(Q38),MONTH(Q38)-1,1),Índices!$B:$F,3,FALSE)/VLOOKUP(DATE(YEAR(P38),MONTH(P38)-1,1),Índices!$B:$F,3,FALSE)*P42</f>
        <v>328.54396242569004</v>
      </c>
      <c r="R42" s="1067">
        <f>IF(R37=YEAR(CAPA!$C$114),'Tabelas e Gráficos'!R39,(VLOOKUP(DATE(YEAR(R38),MONTH(R38)-1,1),Índices!$B:$F,3,FALSE)/VLOOKUP(DATE(YEAR(Q38),MONTH(Q38)-1,1),Índices!$B:$F,3,FALSE)*'Tabelas e Gráficos'!Q42))</f>
        <v>342.31986322951195</v>
      </c>
      <c r="S42" s="1067">
        <f>IF(S37=YEAR(CAPA!$C$114),'Tabelas e Gráficos'!S39,(VLOOKUP(DATE(YEAR(S38),MONTH(S38)-1,1),Índices!$B:$F,3,FALSE)/VLOOKUP(DATE(YEAR(R38),MONTH(R38)-1,1),Índices!$B:$F,3,FALSE)*'Tabelas e Gráficos'!R42))</f>
        <v>354.05669512473327</v>
      </c>
      <c r="T42" s="1067">
        <f>IF(T37=YEAR(CAPA!$C$114),'Tabelas e Gráficos'!T39,(VLOOKUP(DATE(YEAR(T38),MONTH(T38)-1,1),Índices!$B:$F,3,FALSE)/VLOOKUP(DATE(YEAR(S38),MONTH(S38)-1,1),Índices!$B:$F,3,FALSE)*'Tabelas e Gráficos'!S42))</f>
        <v>362.69024286423593</v>
      </c>
      <c r="U42" s="1068">
        <f>VLOOKUP(DATE(YEAR(U38),MONTH(U38)-1,1),Índices!$B:$F,3,FALSE)/VLOOKUP(DATE(YEAR(T38),MONTH(T38)-1,1),Índices!$B:$F,3,FALSE)*T42</f>
        <v>397.7978373300769</v>
      </c>
      <c r="V42" s="1068">
        <f>VLOOKUP(DATE(YEAR(V38),MONTH(V38)-1,1),Índices!$B:$F,3,FALSE)/VLOOKUP(DATE(YEAR(U38),MONTH(U38)-1,1),Índices!$B:$F,3,FALSE)*U42</f>
        <v>432.51481334961557</v>
      </c>
      <c r="W42" s="743">
        <f>V42/M42-1</f>
        <v>0.71469558099276731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3"/>
      <c r="B49" s="643"/>
      <c r="C49" s="643"/>
      <c r="D49" s="643"/>
      <c r="E49" s="643"/>
      <c r="F49" s="643"/>
      <c r="G49" s="643"/>
      <c r="H49" s="644"/>
      <c r="I49" s="643"/>
      <c r="J49" s="643"/>
      <c r="K49" s="645"/>
      <c r="L49" s="645"/>
      <c r="M49" s="645"/>
      <c r="N49" s="645"/>
      <c r="O49" s="645"/>
      <c r="P49" s="645"/>
      <c r="Q49" s="643"/>
      <c r="R49" s="643"/>
      <c r="S49" s="646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2"/>
      <c r="M51" s="1832"/>
      <c r="N51" s="1832"/>
      <c r="O51" s="49"/>
      <c r="P51" s="49"/>
    </row>
    <row r="52" spans="1:47" ht="15" customHeight="1">
      <c r="B52" s="305" t="s">
        <v>776</v>
      </c>
      <c r="C52" s="306">
        <f ca="1">Resultado!C5</f>
        <v>58374424.553177767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54457200.200000003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7.1932165788753943E-2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-0.22509999999999999</v>
      </c>
      <c r="D55" s="307"/>
      <c r="E55" s="28"/>
      <c r="H55" s="23"/>
      <c r="K55" s="49"/>
      <c r="L55" s="642"/>
      <c r="M55" s="639"/>
      <c r="N55" s="640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-0.15316783421124605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6"/>
      <c r="M57" s="516"/>
      <c r="N57" s="516"/>
      <c r="O57" s="516"/>
      <c r="P57" s="516"/>
      <c r="Q57" s="516"/>
      <c r="R57" s="516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7"/>
      <c r="M58" s="518"/>
      <c r="N58" s="519"/>
      <c r="O58" s="513"/>
      <c r="P58" s="513"/>
      <c r="Q58" s="514"/>
      <c r="R58" s="515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91552.993000000031</v>
      </c>
      <c r="G60" s="306">
        <f ca="1">Calc_Mercado!D8</f>
        <v>54392515.760000005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32076.109000000015</v>
      </c>
      <c r="G65" s="306">
        <f ca="1">Calc_Mercado!D13</f>
        <v>15238433.705429997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59476.884000000013</v>
      </c>
      <c r="G67" s="306">
        <f ca="1">Calc_Mercado!D15</f>
        <v>39154082.054570004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9" t="s">
        <v>769</v>
      </c>
      <c r="F70" s="1071">
        <f ca="1">Calc_Mercado!C25</f>
        <v>91552.993000000031</v>
      </c>
      <c r="G70" s="1071">
        <f ca="1">Calc_Mercado!D25</f>
        <v>54457200.200000003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4"/>
      <c r="D74" s="1834"/>
      <c r="E74" s="1834"/>
      <c r="I74" s="1072" t="s">
        <v>743</v>
      </c>
      <c r="J74" s="1073">
        <f ca="1">SUM(J75:J84)</f>
        <v>6220952.1956182271</v>
      </c>
      <c r="K74" s="1074">
        <f ca="1">SUM(K75:K84)</f>
        <v>0.11423562307226778</v>
      </c>
      <c r="L74" s="313" t="s">
        <v>782</v>
      </c>
      <c r="N74" s="34"/>
      <c r="AG74" s="49"/>
      <c r="AH74" s="1825"/>
      <c r="AI74" s="1825"/>
      <c r="AJ74" s="1825"/>
      <c r="AK74" s="635"/>
      <c r="AL74" s="49"/>
      <c r="AM74" s="49"/>
      <c r="AN74" s="49"/>
      <c r="AO74" s="49"/>
    </row>
    <row r="75" spans="2:43" ht="15" hidden="1" customHeight="1">
      <c r="B75" s="30"/>
      <c r="C75" s="1829"/>
      <c r="D75" s="1829"/>
      <c r="E75" s="1829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26"/>
      <c r="AI75" s="1826"/>
      <c r="AJ75" s="1826"/>
      <c r="AK75" s="636"/>
      <c r="AL75" s="417"/>
      <c r="AM75" s="49"/>
      <c r="AN75" s="49"/>
      <c r="AO75" s="49"/>
    </row>
    <row r="76" spans="2:43" ht="15" hidden="1" customHeight="1">
      <c r="B76" s="30"/>
      <c r="C76" s="1829"/>
      <c r="D76" s="1829"/>
      <c r="E76" s="1829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7"/>
      <c r="AL76" s="49"/>
      <c r="AM76" s="49"/>
      <c r="AN76" s="49"/>
      <c r="AO76" s="49"/>
    </row>
    <row r="77" spans="2:43" ht="15" customHeight="1">
      <c r="B77" s="30"/>
      <c r="C77" s="1829"/>
      <c r="D77" s="1829"/>
      <c r="E77" s="1829"/>
      <c r="I77" s="35" t="str">
        <f>Resultado!B17</f>
        <v>Taxa de Fisc. de Serviços de E.E. – TFSEE</v>
      </c>
      <c r="J77" s="315">
        <f ca="1">Mercado_Faturado_Encargo_TFSEE_BRUTO</f>
        <v>101287.302274345</v>
      </c>
      <c r="K77" s="36">
        <f ca="1">J77/$J$98</f>
        <v>1.8599432563987193E-3</v>
      </c>
      <c r="L77" s="313">
        <f ca="1">IF(J77=0,0,1)</f>
        <v>1</v>
      </c>
      <c r="N77" s="36"/>
      <c r="AG77" s="49"/>
      <c r="AH77" s="49"/>
      <c r="AI77" s="49"/>
      <c r="AJ77" s="49"/>
      <c r="AK77" s="637"/>
      <c r="AL77" s="49"/>
      <c r="AM77" s="49"/>
      <c r="AN77" s="49"/>
      <c r="AO77" s="49"/>
    </row>
    <row r="78" spans="2:43" ht="15" customHeight="1">
      <c r="B78" s="30"/>
      <c r="C78" s="1829"/>
      <c r="D78" s="1829"/>
      <c r="E78" s="1829"/>
      <c r="I78" s="35" t="str">
        <f>Resultado!B18</f>
        <v>Conta de Desenvolvimento Energético – CDE</v>
      </c>
      <c r="J78" s="315">
        <f ca="1">Mercado_Faturado_Encargo_CDE_BRUTO</f>
        <v>5266263.8801412862</v>
      </c>
      <c r="K78" s="36">
        <f ca="1">J78/$J$98</f>
        <v>9.6704638887059158E-2</v>
      </c>
      <c r="L78" s="313">
        <f t="shared" ref="L78:L95" ca="1" si="2">IF(J78=0,0,1)</f>
        <v>1</v>
      </c>
      <c r="N78" s="36"/>
      <c r="AG78" s="49"/>
      <c r="AH78" s="1826"/>
      <c r="AI78" s="1826"/>
      <c r="AJ78" s="1826"/>
      <c r="AK78" s="636"/>
      <c r="AL78" s="417"/>
      <c r="AM78" s="49"/>
      <c r="AN78" s="49"/>
      <c r="AO78" s="49"/>
    </row>
    <row r="79" spans="2:43" ht="15" hidden="1" customHeight="1">
      <c r="B79" s="30"/>
      <c r="C79" s="1829"/>
      <c r="D79" s="1829"/>
      <c r="E79" s="1829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7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13"/>
      <c r="D80" s="1713"/>
      <c r="E80" s="1713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7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9"/>
      <c r="D81" s="1829"/>
      <c r="E81" s="1829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7"/>
      <c r="AL81" s="49"/>
      <c r="AM81" s="49"/>
      <c r="AN81" s="49"/>
      <c r="AO81" s="49"/>
    </row>
    <row r="82" spans="2:41" ht="15" customHeight="1">
      <c r="B82" s="30"/>
      <c r="C82" s="1829"/>
      <c r="D82" s="1829"/>
      <c r="E82" s="1829"/>
      <c r="I82" s="35" t="str">
        <f>Resultado!B21</f>
        <v>PROINFA</v>
      </c>
      <c r="J82" s="315">
        <f ca="1">Mercado_Faturado_Encargo_PROINFA_BRUTO</f>
        <v>853401.01320259506</v>
      </c>
      <c r="K82" s="36">
        <f ca="1">J82/$J$98</f>
        <v>1.5671040928809905E-2</v>
      </c>
      <c r="L82" s="313">
        <f t="shared" ca="1" si="2"/>
        <v>1</v>
      </c>
      <c r="N82" s="34"/>
      <c r="AG82" s="49"/>
      <c r="AH82" s="49"/>
      <c r="AI82" s="49"/>
      <c r="AJ82" s="49"/>
      <c r="AK82" s="637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26"/>
      <c r="AI83" s="1826"/>
      <c r="AJ83" s="1826"/>
      <c r="AK83" s="636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7"/>
      <c r="AL84" s="49"/>
      <c r="AM84" s="49"/>
      <c r="AN84" s="49"/>
      <c r="AO84" s="49"/>
    </row>
    <row r="85" spans="2:41" ht="15" customHeight="1">
      <c r="I85" s="1072" t="s">
        <v>795</v>
      </c>
      <c r="J85" s="1073">
        <f ca="1">SUM(Calc_Mercado!C79:C85)</f>
        <v>14158165.283587661</v>
      </c>
      <c r="K85" s="1074">
        <f ca="1">SUM(K86)</f>
        <v>0.25998702158007125</v>
      </c>
      <c r="L85" s="313">
        <f t="shared" ca="1" si="2"/>
        <v>1</v>
      </c>
      <c r="N85" s="36"/>
      <c r="AG85" s="49"/>
      <c r="AH85" s="49"/>
      <c r="AI85" s="49"/>
      <c r="AJ85" s="49"/>
      <c r="AK85" s="637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14158165.283587661</v>
      </c>
      <c r="K86" s="36">
        <f t="shared" ref="K86:K97" ca="1" si="3">J86/$J$98</f>
        <v>0.25998702158007125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49"/>
      <c r="AL86" s="49"/>
      <c r="AM86" s="49"/>
      <c r="AN86" s="49"/>
      <c r="AO86" s="49"/>
    </row>
    <row r="87" spans="2:41" ht="15" customHeight="1">
      <c r="B87" s="1828"/>
      <c r="C87" s="1828"/>
      <c r="D87" s="1828"/>
      <c r="E87" s="1828"/>
      <c r="F87" s="1828"/>
      <c r="G87" s="39"/>
      <c r="I87" s="1072" t="s">
        <v>797</v>
      </c>
      <c r="J87" s="1073">
        <f ca="1">Resultado!C24</f>
        <v>9288497.3007001765</v>
      </c>
      <c r="K87" s="1074">
        <f t="shared" ca="1" si="3"/>
        <v>0.17056509087112737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49"/>
      <c r="AL87" s="49"/>
      <c r="AM87" s="49"/>
      <c r="AN87" s="49"/>
      <c r="AO87" s="49"/>
    </row>
    <row r="88" spans="2:41" ht="15" hidden="1" customHeight="1">
      <c r="B88" s="1827"/>
      <c r="C88" s="1827"/>
      <c r="D88" s="1827"/>
      <c r="E88" s="1827"/>
      <c r="F88" s="1827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8"/>
      <c r="AI88" s="639"/>
      <c r="AJ88" s="640"/>
      <c r="AK88" s="641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27"/>
      <c r="C90" s="1827"/>
      <c r="D90" s="1827"/>
      <c r="E90" s="1827"/>
      <c r="F90" s="1827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28"/>
      <c r="C95" s="1828"/>
      <c r="D95" s="1828"/>
      <c r="E95" s="1828"/>
      <c r="F95" s="1828"/>
      <c r="G95" s="42"/>
      <c r="I95" s="37" t="s">
        <v>639</v>
      </c>
      <c r="J95" s="315">
        <f ca="1">Resultado!C32</f>
        <v>9288497.3007001765</v>
      </c>
      <c r="K95" s="36">
        <f t="shared" ca="1" si="3"/>
        <v>0.17056509087112737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27"/>
      <c r="C96" s="1827"/>
      <c r="D96" s="1827"/>
      <c r="E96" s="1827"/>
      <c r="F96" s="1827"/>
      <c r="I96" s="1072" t="s">
        <v>798</v>
      </c>
      <c r="J96" s="1073">
        <f ca="1">J87+J85+J74</f>
        <v>29667614.779906064</v>
      </c>
      <c r="K96" s="1074">
        <f t="shared" ca="1" si="3"/>
        <v>0.54478773552346638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27"/>
      <c r="C97" s="1827"/>
      <c r="D97" s="1827"/>
      <c r="E97" s="1827"/>
      <c r="F97" s="1827"/>
      <c r="I97" s="1072" t="s">
        <v>799</v>
      </c>
      <c r="J97" s="1073">
        <f ca="1">J98-J96</f>
        <v>24789585.420093939</v>
      </c>
      <c r="K97" s="1074">
        <f t="shared" ca="1" si="3"/>
        <v>0.45521226447653357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28"/>
      <c r="C98" s="1828"/>
      <c r="D98" s="1828"/>
      <c r="E98" s="1828"/>
      <c r="F98" s="1828"/>
      <c r="G98" s="28"/>
      <c r="I98" s="1069" t="s">
        <v>800</v>
      </c>
      <c r="J98" s="1071">
        <f ca="1">Mercado_RA0_Reais</f>
        <v>54457200.200000003</v>
      </c>
      <c r="K98" s="1075">
        <f ca="1">K96+K97</f>
        <v>1</v>
      </c>
      <c r="L98" s="31"/>
      <c r="AG98" s="49"/>
      <c r="AH98" s="634"/>
      <c r="AI98" s="634"/>
      <c r="AJ98" s="634"/>
      <c r="AK98" s="49"/>
      <c r="AL98" s="49"/>
      <c r="AM98" s="49"/>
      <c r="AN98" s="49"/>
      <c r="AO98" s="49"/>
    </row>
    <row r="99" spans="2:41" ht="15" customHeight="1">
      <c r="B99" s="1827"/>
      <c r="C99" s="1827"/>
      <c r="D99" s="1827"/>
      <c r="E99" s="1827"/>
      <c r="F99" s="1827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27"/>
      <c r="C100" s="1827"/>
      <c r="D100" s="1827"/>
      <c r="E100" s="1827"/>
      <c r="F100" s="1827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109835.60937026615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7706465.960090002</v>
      </c>
      <c r="O104" s="319">
        <f t="shared" ca="1" si="4"/>
        <v>1</v>
      </c>
    </row>
    <row r="105" spans="2:41" ht="15" hidden="1" customHeight="1">
      <c r="B105" s="1827"/>
      <c r="C105" s="1827"/>
      <c r="D105" s="1827"/>
      <c r="E105" s="1827"/>
      <c r="F105" s="1827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58">
        <f>IF(N106=0,0,1)</f>
        <v>0</v>
      </c>
    </row>
    <row r="107" spans="2:41" ht="15" hidden="1" customHeight="1">
      <c r="B107" s="1827"/>
      <c r="C107" s="1827"/>
      <c r="D107" s="1827"/>
      <c r="E107" s="1827"/>
      <c r="F107" s="1827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28"/>
      <c r="C108" s="1828"/>
      <c r="D108" s="1828"/>
      <c r="E108" s="1828"/>
      <c r="F108" s="1828"/>
      <c r="G108" s="39"/>
      <c r="M108" s="35" t="str">
        <f>Resultado!B21</f>
        <v>PROINFA</v>
      </c>
      <c r="N108" s="315">
        <f ca="1">Resultado!D21</f>
        <v>1291204.2324600006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769</v>
      </c>
      <c r="N111" s="1071">
        <f ca="1">SUM(N101:N110)</f>
        <v>9107505.8019202687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6">
        <f ca="1">Energia!N14</f>
        <v>9.913678083810562E-2</v>
      </c>
    </row>
    <row r="116" spans="2:44" ht="15" customHeight="1">
      <c r="B116" s="46"/>
      <c r="C116" s="307"/>
      <c r="D116" s="307"/>
      <c r="P116" s="1069" t="s">
        <v>769</v>
      </c>
      <c r="Q116" s="1075">
        <f ca="1">SUM(Q114:Q115)</f>
        <v>9.913678083810562E-2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7" t="s">
        <v>805</v>
      </c>
      <c r="T121" s="1078">
        <f ca="1">SUM(T122:T123)</f>
        <v>91552.993000000031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91552.993000000031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808</v>
      </c>
      <c r="T124" s="1079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804</v>
      </c>
      <c r="T127" s="1080">
        <f ca="1">T121+T124</f>
        <v>91552.993000000031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811</v>
      </c>
      <c r="W129" s="1081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129.926941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813</v>
      </c>
      <c r="AA138" s="1081"/>
      <c r="AB138" s="1081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99919.989000000001</v>
      </c>
      <c r="AB140" s="331">
        <f>Energia!G35</f>
        <v>284.99</v>
      </c>
      <c r="AC140" s="332">
        <f>AA140*AB140</f>
        <v>28476197.665109999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hidden="1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1635.6737817539956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815</v>
      </c>
      <c r="AA143" s="1090">
        <f ca="1">Energia!M30-Energia!L30</f>
        <v>72.410218246033764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769</v>
      </c>
      <c r="AA144" s="1092">
        <f ca="1">SUM(AA140:AA143)</f>
        <v>101628.07300000003</v>
      </c>
      <c r="AB144" s="1093">
        <f ca="1">AC144/AA144</f>
        <v>280.20011424510619</v>
      </c>
      <c r="AC144" s="1093">
        <f ca="1">SUM(AC140:AC143)</f>
        <v>28476197.665109999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753</v>
      </c>
      <c r="AF146" s="1094"/>
      <c r="AG146" s="1094"/>
      <c r="AH146" s="1094"/>
      <c r="AI146" s="1094"/>
      <c r="AJ146" s="1094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816</v>
      </c>
      <c r="AH147" s="1064" t="s">
        <v>817</v>
      </c>
      <c r="AI147" s="1064" t="s">
        <v>60</v>
      </c>
      <c r="AJ147" s="1064" t="s">
        <v>818</v>
      </c>
      <c r="AK147" s="1064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257266</v>
      </c>
      <c r="AJ148" s="397">
        <f>CUSD!J6</f>
        <v>13.88</v>
      </c>
      <c r="AK148" s="334">
        <f>IFERROR(AI148*AJ148,0)</f>
        <v>3570852.08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227692</v>
      </c>
      <c r="AJ149" s="397">
        <f>CUSD!J7</f>
        <v>24.15</v>
      </c>
      <c r="AK149" s="334">
        <f t="shared" ref="AK149:AK155" si="6">IFERROR(AI149*AJ149,0)</f>
        <v>5498761.7999999998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89842.744999999995</v>
      </c>
      <c r="AJ150" s="397">
        <f>CUSD!J8</f>
        <v>12.06</v>
      </c>
      <c r="AK150" s="334">
        <f t="shared" si="6"/>
        <v>1083503.5046999999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10123.948</v>
      </c>
      <c r="AJ151" s="397">
        <f>CUSD!J9</f>
        <v>12.06</v>
      </c>
      <c r="AK151" s="334">
        <f t="shared" si="6"/>
        <v>122094.81288000001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819</v>
      </c>
      <c r="AF163" s="1069"/>
      <c r="AG163" s="1069"/>
      <c r="AH163" s="1069"/>
      <c r="AI163" s="1095">
        <f>SUM(AI148:AI162)</f>
        <v>584924.69299999997</v>
      </c>
      <c r="AJ163" s="1071"/>
      <c r="AK163" s="1071">
        <f>SUM(AK148:AK162)</f>
        <v>10275212.197579999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8" t="s">
        <v>820</v>
      </c>
      <c r="AN165" s="1749" t="s">
        <v>773</v>
      </c>
    </row>
    <row r="166" spans="2:42" ht="15" customHeight="1">
      <c r="B166" s="46"/>
      <c r="C166" s="307"/>
      <c r="D166" s="307"/>
      <c r="P166" s="44"/>
      <c r="Q166" s="307"/>
      <c r="AM166" s="1750" t="s">
        <v>724</v>
      </c>
      <c r="AN166" s="1714" t="s">
        <v>775</v>
      </c>
      <c r="AO166" s="23" t="s">
        <v>782</v>
      </c>
      <c r="AP166" s="649" t="s">
        <v>821</v>
      </c>
    </row>
    <row r="167" spans="2:42" ht="15" customHeight="1">
      <c r="B167" s="46"/>
      <c r="C167" s="307"/>
      <c r="D167" s="307"/>
      <c r="P167" s="44"/>
      <c r="Q167" s="307"/>
      <c r="AM167" s="924" t="s">
        <v>2304</v>
      </c>
      <c r="AN167" s="1751">
        <f ca="1">SUM(Financeiros!D9:D14)</f>
        <v>865305.55296727712</v>
      </c>
      <c r="AO167" s="23">
        <f t="shared" ref="AO167:AO207" ca="1" si="8">IF(AN167=0,0,1)</f>
        <v>1</v>
      </c>
      <c r="AP167" s="649"/>
    </row>
    <row r="168" spans="2:42" ht="15" customHeight="1">
      <c r="B168" s="46"/>
      <c r="C168" s="307"/>
      <c r="D168" s="307"/>
      <c r="P168" s="44"/>
      <c r="Q168" s="307"/>
      <c r="AM168" s="924" t="s">
        <v>728</v>
      </c>
      <c r="AN168" s="1751">
        <f ca="1">SUM(Financeiros!D15:D19,D21)</f>
        <v>212834.36761048861</v>
      </c>
      <c r="AO168" s="23">
        <f t="shared" ca="1" si="8"/>
        <v>1</v>
      </c>
      <c r="AP168" s="649"/>
    </row>
    <row r="169" spans="2:42" ht="15" customHeight="1">
      <c r="B169" s="46"/>
      <c r="C169" s="307"/>
      <c r="D169" s="307"/>
      <c r="P169" s="44"/>
      <c r="Q169" s="307"/>
      <c r="AM169" s="927" t="s">
        <v>2102</v>
      </c>
      <c r="AN169" s="928">
        <f ca="1">Financeiros!D20+Financeiros!D22</f>
        <v>0</v>
      </c>
      <c r="AO169" s="23">
        <f t="shared" ca="1" si="8"/>
        <v>0</v>
      </c>
      <c r="AP169" s="649"/>
    </row>
    <row r="170" spans="2:42" ht="15" customHeight="1">
      <c r="B170" s="46"/>
      <c r="C170" s="307"/>
      <c r="D170" s="307"/>
      <c r="P170" s="44"/>
      <c r="Q170" s="307"/>
      <c r="AM170" s="927" t="s">
        <v>2159</v>
      </c>
      <c r="AN170" s="928">
        <f ca="1">Financeiros!D23</f>
        <v>0</v>
      </c>
      <c r="AO170" s="649">
        <f ca="1">IF(AN170=0,0,1)</f>
        <v>0</v>
      </c>
      <c r="AP170" s="649"/>
    </row>
    <row r="171" spans="2:42" ht="15" customHeight="1">
      <c r="B171" s="46"/>
      <c r="C171" s="307"/>
      <c r="D171" s="307"/>
      <c r="P171" s="44"/>
      <c r="Q171" s="307"/>
      <c r="AM171" s="924" t="s">
        <v>2305</v>
      </c>
      <c r="AN171" s="1751">
        <f>SUM(Financeiros!D24:D25)</f>
        <v>0</v>
      </c>
      <c r="AO171" s="23">
        <f t="shared" si="8"/>
        <v>0</v>
      </c>
      <c r="AP171" s="649"/>
    </row>
    <row r="172" spans="2:42" ht="15" customHeight="1">
      <c r="B172" s="46"/>
      <c r="C172" s="307"/>
      <c r="D172" s="307"/>
      <c r="P172" s="44"/>
      <c r="Q172" s="307"/>
      <c r="AM172" s="924"/>
      <c r="AN172" s="1751"/>
      <c r="AO172" s="23">
        <f t="shared" si="8"/>
        <v>0</v>
      </c>
      <c r="AP172" s="649"/>
    </row>
    <row r="173" spans="2:42" ht="15" customHeight="1">
      <c r="B173" s="46"/>
      <c r="C173" s="307"/>
      <c r="D173" s="307"/>
      <c r="P173" s="44"/>
      <c r="Q173" s="307"/>
      <c r="AM173" s="924"/>
      <c r="AN173" s="1751"/>
      <c r="AO173" s="23">
        <f t="shared" si="8"/>
        <v>0</v>
      </c>
      <c r="AP173" s="649"/>
    </row>
    <row r="174" spans="2:42" ht="15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51">
        <f>LnkTxTSubvencaoCDE</f>
        <v>0</v>
      </c>
      <c r="AO174" s="23">
        <f t="shared" si="8"/>
        <v>0</v>
      </c>
      <c r="AP174" s="649"/>
    </row>
    <row r="175" spans="2:42" ht="15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51">
        <f>LnkTXTBandeira</f>
        <v>0</v>
      </c>
      <c r="AO175" s="23">
        <f t="shared" si="8"/>
        <v>0</v>
      </c>
      <c r="AP175" s="649"/>
    </row>
    <row r="176" spans="2:42" ht="15" customHeight="1">
      <c r="B176" s="46"/>
      <c r="C176" s="307"/>
      <c r="D176" s="307"/>
      <c r="P176" s="44"/>
      <c r="Q176" s="307"/>
      <c r="AM176" s="924" t="s">
        <v>2307</v>
      </c>
      <c r="AN176" s="1751">
        <f>Financeiros!D28</f>
        <v>0</v>
      </c>
      <c r="AO176" s="23">
        <f t="shared" si="8"/>
        <v>0</v>
      </c>
      <c r="AP176" s="649"/>
    </row>
    <row r="177" spans="2:42" ht="15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51">
        <f>Financeiros!D29</f>
        <v>-22050.655122158136</v>
      </c>
      <c r="AO177" s="649">
        <f>IF(AN177=0,0,1)</f>
        <v>1</v>
      </c>
      <c r="AP177" s="649"/>
    </row>
    <row r="178" spans="2:42" ht="15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51">
        <f ca="1">Financeiros!D30</f>
        <v>-11769398.069312805</v>
      </c>
      <c r="AO178" s="23">
        <f t="shared" ca="1" si="8"/>
        <v>1</v>
      </c>
      <c r="AP178" s="649"/>
    </row>
    <row r="179" spans="2:42" ht="15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51">
        <f>Financeiros!D31</f>
        <v>-662461.38184623118</v>
      </c>
      <c r="AO179" s="23">
        <f t="shared" si="8"/>
        <v>1</v>
      </c>
      <c r="AP179" s="649"/>
    </row>
    <row r="180" spans="2:42" ht="15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51">
        <f>Financeiros!D32</f>
        <v>0</v>
      </c>
      <c r="AO180" s="1557">
        <f>IF(AN180=0,0,1)</f>
        <v>0</v>
      </c>
      <c r="AP180" s="1557"/>
    </row>
    <row r="181" spans="2:42" ht="15" customHeight="1">
      <c r="B181" s="46"/>
      <c r="C181" s="307"/>
      <c r="D181" s="307"/>
      <c r="P181" s="44"/>
      <c r="Q181" s="307"/>
      <c r="AM181" s="924" t="s">
        <v>2404</v>
      </c>
      <c r="AN181" s="1751">
        <f>Financeiros!D33+Financeiros!D34</f>
        <v>0</v>
      </c>
      <c r="AO181" s="23">
        <f t="shared" si="8"/>
        <v>0</v>
      </c>
      <c r="AP181" s="649"/>
    </row>
    <row r="182" spans="2:42" ht="15" customHeight="1">
      <c r="B182" s="46"/>
      <c r="C182" s="307"/>
      <c r="D182" s="307"/>
      <c r="P182" s="44"/>
      <c r="Q182" s="307"/>
      <c r="AM182" s="924"/>
      <c r="AN182" s="1751">
        <v>0</v>
      </c>
      <c r="AO182" s="23">
        <f t="shared" si="8"/>
        <v>0</v>
      </c>
      <c r="AP182" s="649"/>
    </row>
    <row r="183" spans="2:42" ht="15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51">
        <f>Financeiros!D35</f>
        <v>0</v>
      </c>
      <c r="AO183" s="23">
        <f t="shared" si="8"/>
        <v>0</v>
      </c>
      <c r="AP183" s="649"/>
    </row>
    <row r="184" spans="2:42" ht="15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51">
        <f>Financeiros!D36</f>
        <v>0</v>
      </c>
      <c r="AO184" s="23">
        <f t="shared" ref="AO184:AO189" si="9">IF(AN184=0,0,1)</f>
        <v>0</v>
      </c>
      <c r="AP184" s="649"/>
    </row>
    <row r="185" spans="2:42" ht="15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51">
        <f>Financeiros!D37</f>
        <v>0</v>
      </c>
      <c r="AO185" s="23">
        <f t="shared" si="9"/>
        <v>0</v>
      </c>
      <c r="AP185" s="649"/>
    </row>
    <row r="186" spans="2:42" ht="15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51">
        <f>Financeiros!D38</f>
        <v>0</v>
      </c>
      <c r="AO186" s="23">
        <f t="shared" si="9"/>
        <v>0</v>
      </c>
      <c r="AP186" s="649"/>
    </row>
    <row r="187" spans="2:42" ht="15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51">
        <f>Financeiros!D39</f>
        <v>0</v>
      </c>
      <c r="AO187" s="23">
        <f t="shared" si="9"/>
        <v>0</v>
      </c>
      <c r="AP187" s="649"/>
    </row>
    <row r="188" spans="2:42" ht="15" customHeight="1">
      <c r="B188" s="46"/>
      <c r="C188" s="307"/>
      <c r="D188" s="307"/>
      <c r="P188" s="44"/>
      <c r="Q188" s="307"/>
      <c r="AM188" s="924" t="s">
        <v>2405</v>
      </c>
      <c r="AN188" s="1751">
        <f ca="1">Financeiros!D40+Financeiros!D41</f>
        <v>-865305.55296727712</v>
      </c>
      <c r="AO188" s="23">
        <f t="shared" ca="1" si="9"/>
        <v>1</v>
      </c>
      <c r="AP188" s="915"/>
    </row>
    <row r="189" spans="2:42" ht="15" customHeight="1">
      <c r="B189" s="46"/>
      <c r="C189" s="307"/>
      <c r="D189" s="307"/>
      <c r="P189" s="44"/>
      <c r="Q189" s="307"/>
      <c r="AM189" s="924"/>
      <c r="AN189" s="1751"/>
      <c r="AO189" s="23">
        <f t="shared" si="9"/>
        <v>0</v>
      </c>
      <c r="AP189" s="915"/>
    </row>
    <row r="190" spans="2:42" ht="15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51">
        <f>Financeiros!D42</f>
        <v>0</v>
      </c>
      <c r="AO190" s="23">
        <f t="shared" si="8"/>
        <v>0</v>
      </c>
      <c r="AP190" s="649"/>
    </row>
    <row r="191" spans="2:42" ht="15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51">
        <f>Financeiros!D43</f>
        <v>0</v>
      </c>
      <c r="AO191" s="23">
        <f t="shared" si="8"/>
        <v>0</v>
      </c>
      <c r="AP191" s="649"/>
    </row>
    <row r="192" spans="2:42" ht="15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51">
        <f>Financeiros!D44</f>
        <v>0</v>
      </c>
      <c r="AO192" s="23">
        <f>IF(AN192=0,0,1)</f>
        <v>0</v>
      </c>
      <c r="AP192" s="649"/>
    </row>
    <row r="193" spans="2:42" ht="15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51">
        <f>Financeiros!D45</f>
        <v>0</v>
      </c>
      <c r="AO193" s="23">
        <f t="shared" ref="AO193:AO195" si="10">IF(AN193=0,0,1)</f>
        <v>0</v>
      </c>
      <c r="AP193" s="649"/>
    </row>
    <row r="194" spans="2:42" ht="15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51">
        <f>Financeiros!D46</f>
        <v>0</v>
      </c>
      <c r="AO194" s="23">
        <f t="shared" si="10"/>
        <v>0</v>
      </c>
      <c r="AP194" s="649"/>
    </row>
    <row r="195" spans="2:42" ht="15" customHeight="1">
      <c r="B195" s="46"/>
      <c r="C195" s="307"/>
      <c r="D195" s="307"/>
      <c r="P195" s="44"/>
      <c r="Q195" s="307"/>
      <c r="AM195" s="924" t="s">
        <v>2414</v>
      </c>
      <c r="AN195" s="1751">
        <f>Financeiros!D47+Financeiros!D48</f>
        <v>2480200.2097501578</v>
      </c>
      <c r="AO195" s="23">
        <f t="shared" si="10"/>
        <v>1</v>
      </c>
      <c r="AP195" s="649"/>
    </row>
    <row r="196" spans="2:42" ht="15" customHeight="1">
      <c r="B196" s="46"/>
      <c r="C196" s="307"/>
      <c r="D196" s="307"/>
      <c r="P196" s="44"/>
      <c r="Q196" s="307"/>
      <c r="AM196" s="924"/>
      <c r="AN196" s="1751">
        <v>0</v>
      </c>
      <c r="AO196" s="649">
        <f>IF(AN196=0,0,1)</f>
        <v>0</v>
      </c>
      <c r="AP196" s="649"/>
    </row>
    <row r="197" spans="2:42" ht="15" customHeight="1">
      <c r="B197" s="46"/>
      <c r="C197" s="307"/>
      <c r="D197" s="307"/>
      <c r="P197" s="44"/>
      <c r="Q197" s="307"/>
      <c r="AM197" s="924" t="s">
        <v>2308</v>
      </c>
      <c r="AN197" s="1751">
        <f ca="1">SUM(Financeiros!D58:D62)</f>
        <v>0</v>
      </c>
      <c r="AO197" s="23">
        <f ca="1">IF(AN197=0,0,1)</f>
        <v>0</v>
      </c>
      <c r="AP197" s="649"/>
    </row>
    <row r="198" spans="2:42" ht="15" customHeight="1">
      <c r="B198" s="46"/>
      <c r="C198" s="307"/>
      <c r="D198" s="307"/>
      <c r="P198" s="44"/>
      <c r="Q198" s="307"/>
      <c r="AM198" s="924" t="s">
        <v>2309</v>
      </c>
      <c r="AN198" s="1751">
        <f>Financeiros!D65</f>
        <v>0</v>
      </c>
      <c r="AO198" s="23">
        <f>IF(AN198=0,0,1)</f>
        <v>0</v>
      </c>
      <c r="AP198" s="649"/>
    </row>
    <row r="199" spans="2:42" ht="15" customHeight="1">
      <c r="B199" s="46"/>
      <c r="C199" s="307"/>
      <c r="D199" s="307"/>
      <c r="P199" s="44"/>
      <c r="Q199" s="307"/>
      <c r="AM199" s="924" t="s">
        <v>2059</v>
      </c>
      <c r="AN199" s="1751">
        <f ca="1">SUM(Financeiros!D66:D76)</f>
        <v>0</v>
      </c>
      <c r="AO199" s="649">
        <f t="shared" ref="AO199:AO206" ca="1" si="11">IF(AN199=0,0,1)</f>
        <v>0</v>
      </c>
      <c r="AP199" s="649"/>
    </row>
    <row r="200" spans="2:42" ht="15" customHeight="1">
      <c r="B200" s="46"/>
      <c r="C200" s="307"/>
      <c r="D200" s="307"/>
      <c r="P200" s="44"/>
      <c r="Q200" s="307"/>
      <c r="AM200" s="924"/>
      <c r="AN200" s="1751">
        <v>0</v>
      </c>
      <c r="AO200" s="649">
        <f t="shared" si="11"/>
        <v>0</v>
      </c>
      <c r="AP200" s="649"/>
    </row>
    <row r="201" spans="2:42" ht="15" customHeight="1">
      <c r="B201" s="46"/>
      <c r="C201" s="307"/>
      <c r="D201" s="307"/>
      <c r="P201" s="44"/>
      <c r="Q201" s="307"/>
      <c r="AM201" s="924"/>
      <c r="AN201" s="1751">
        <v>0</v>
      </c>
      <c r="AO201" s="649">
        <f t="shared" si="11"/>
        <v>0</v>
      </c>
      <c r="AP201" s="649"/>
    </row>
    <row r="202" spans="2:42" ht="15" customHeight="1">
      <c r="B202" s="46"/>
      <c r="C202" s="307"/>
      <c r="D202" s="307"/>
      <c r="P202" s="44"/>
      <c r="Q202" s="307"/>
      <c r="AM202" s="924" t="s">
        <v>2311</v>
      </c>
      <c r="AN202" s="1751">
        <f ca="1">Financeiros!D77+Financeiros!D78+Financeiros!D79+Financeiros!D80+Financeiros!D81</f>
        <v>0</v>
      </c>
      <c r="AO202" s="649">
        <f ca="1">IF(AN202=0,0,1)</f>
        <v>0</v>
      </c>
      <c r="AP202" s="649"/>
    </row>
    <row r="203" spans="2:42" ht="15" customHeight="1">
      <c r="B203" s="46"/>
      <c r="C203" s="307"/>
      <c r="D203" s="307"/>
      <c r="P203" s="44"/>
      <c r="Q203" s="307"/>
      <c r="AM203" s="924" t="s">
        <v>1307</v>
      </c>
      <c r="AN203" s="1751">
        <f ca="1">SUM(Financeiros!D82:D86)</f>
        <v>0</v>
      </c>
      <c r="AO203" s="649">
        <f ca="1">IF(AN203=0,0,1)</f>
        <v>0</v>
      </c>
      <c r="AP203" s="649"/>
    </row>
    <row r="204" spans="2:42" ht="15" customHeight="1">
      <c r="B204" s="46"/>
      <c r="C204" s="307"/>
      <c r="D204" s="307"/>
      <c r="P204" s="44"/>
      <c r="Q204" s="307"/>
      <c r="AM204" s="924" t="s">
        <v>2310</v>
      </c>
      <c r="AN204" s="1751">
        <f ca="1">SUM(Financeiros!D87:D91)</f>
        <v>0</v>
      </c>
      <c r="AO204" s="649">
        <f t="shared" ca="1" si="11"/>
        <v>0</v>
      </c>
      <c r="AP204" s="649"/>
    </row>
    <row r="205" spans="2:42" ht="15" customHeight="1">
      <c r="B205" s="46"/>
      <c r="C205" s="307"/>
      <c r="D205" s="307"/>
      <c r="P205" s="44"/>
      <c r="Q205" s="307"/>
      <c r="AM205" s="924" t="s">
        <v>2425</v>
      </c>
      <c r="AN205" s="1751">
        <f>SUM(Financeiros!D92:D96)</f>
        <v>0</v>
      </c>
      <c r="AO205" s="649">
        <f t="shared" si="11"/>
        <v>0</v>
      </c>
      <c r="AP205" s="649"/>
    </row>
    <row r="206" spans="2:42" ht="15" customHeight="1">
      <c r="B206" s="46"/>
      <c r="C206" s="307"/>
      <c r="D206" s="307"/>
      <c r="P206" s="44"/>
      <c r="Q206" s="307"/>
      <c r="AM206" s="924" t="s">
        <v>2426</v>
      </c>
      <c r="AN206" s="1751">
        <f>Financeiros!D97</f>
        <v>-2500000</v>
      </c>
      <c r="AO206" s="649">
        <f t="shared" si="11"/>
        <v>1</v>
      </c>
      <c r="AP206" s="649"/>
    </row>
    <row r="207" spans="2:42" ht="15" customHeight="1">
      <c r="B207" s="46"/>
      <c r="C207" s="307"/>
      <c r="D207" s="307"/>
      <c r="P207" s="44"/>
      <c r="Q207" s="307"/>
      <c r="AM207" s="924"/>
      <c r="AN207" s="1751"/>
      <c r="AO207" s="23">
        <f t="shared" si="8"/>
        <v>0</v>
      </c>
      <c r="AP207" s="649"/>
    </row>
    <row r="208" spans="2:42" ht="15" customHeight="1">
      <c r="B208" s="46"/>
      <c r="C208" s="307"/>
      <c r="D208" s="307"/>
      <c r="P208" s="44"/>
      <c r="Q208" s="307"/>
      <c r="AM208" s="1715" t="s">
        <v>727</v>
      </c>
      <c r="AN208" s="1117">
        <f ca="1">SUM(AN167:AN207)</f>
        <v>-12260875.528920546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823</v>
      </c>
      <c r="AQ212" s="1064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6.6974326945341334E-2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0.11130835735180433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827</v>
      </c>
      <c r="AQ215" s="1075">
        <f>LnkTXTEfeito</f>
        <v>9.7521035077307694E-2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7" t="s">
        <v>829</v>
      </c>
      <c r="AT218" s="917" t="s">
        <v>793</v>
      </c>
      <c r="AU218" s="917" t="s">
        <v>830</v>
      </c>
      <c r="AV218" s="917" t="s">
        <v>831</v>
      </c>
      <c r="AW218" s="917" t="s">
        <v>832</v>
      </c>
      <c r="AX218" s="917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6" t="s">
        <v>834</v>
      </c>
      <c r="AT219" s="1097">
        <f ca="1">SUM(AT220:AT229)</f>
        <v>6220952.1956182271</v>
      </c>
      <c r="AU219" s="1097">
        <f ca="1">SUM(AU220:AU229)</f>
        <v>9107505.8019202687</v>
      </c>
      <c r="AV219" s="1098">
        <f ca="1">IF(AU219=0,0,ROUND(AU219/AT219-1,4))</f>
        <v>0.46400000000000002</v>
      </c>
      <c r="AW219" s="1098">
        <f ca="1">SUM(AW220:AW229)</f>
        <v>5.3005912821460895E-2</v>
      </c>
      <c r="AX219" s="1098">
        <f t="shared" ref="AX219:AX224" ca="1" si="12">AU219/$AU$237</f>
        <v>0.15601876800727241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t="shared" ref="AW220:AW229" ca="1" si="15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t="shared" ca="1" si="15"/>
        <v>0</v>
      </c>
      <c r="AX221" s="920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101287.302274345</v>
      </c>
      <c r="AU222" s="919">
        <f ca="1">Resultado!D17</f>
        <v>109835.60937026615</v>
      </c>
      <c r="AV222" s="920">
        <f ca="1">IF(AU222=0,0,ROUND(AU222/AT222-1,4))</f>
        <v>8.4400000000000003E-2</v>
      </c>
      <c r="AW222" s="920">
        <f t="shared" ca="1" si="15"/>
        <v>1.5697294507478456E-4</v>
      </c>
      <c r="AX222" s="920">
        <f t="shared" ca="1" si="12"/>
        <v>1.8815707428551766E-3</v>
      </c>
      <c r="AY222" s="318">
        <f t="shared" ca="1" si="16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5266263.8801412862</v>
      </c>
      <c r="AU223" s="919">
        <f ca="1">Resultado!D18-Encargos!I20</f>
        <v>7706465.960090002</v>
      </c>
      <c r="AV223" s="920">
        <f t="shared" ref="AV223" ca="1" si="17">IF(AU223=0,0,ROUND(AU223/AT223-1,4))</f>
        <v>0.46339999999999998</v>
      </c>
      <c r="AW223" s="920">
        <f t="shared" ca="1" si="15"/>
        <v>4.4809539803493531E-2</v>
      </c>
      <c r="AX223" s="920">
        <f t="shared" ca="1" si="12"/>
        <v>0.13201784889664459</v>
      </c>
      <c r="AY223" s="318">
        <f t="shared" ca="1" si="16"/>
        <v>1</v>
      </c>
    </row>
    <row r="224" spans="2:54" ht="15" hidden="1" customHeight="1">
      <c r="C224" s="28"/>
      <c r="H224" s="23"/>
      <c r="AS224" s="918" t="s">
        <v>835</v>
      </c>
      <c r="AT224" s="919">
        <f ca="1">J79</f>
        <v>0</v>
      </c>
      <c r="AU224" s="919">
        <f>Encargos!I20</f>
        <v>0</v>
      </c>
      <c r="AV224" s="920">
        <f>IFERROR(IF(AU224=0,0,ROUND(AU224/AT224-1,4)),0)</f>
        <v>0</v>
      </c>
      <c r="AW224" s="920">
        <f t="shared" ca="1" si="15"/>
        <v>0</v>
      </c>
      <c r="AX224" s="920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18" t="s">
        <v>2072</v>
      </c>
      <c r="AT225" s="919"/>
      <c r="AU225" s="919">
        <f>Encargos!I21</f>
        <v>0</v>
      </c>
      <c r="AV225" s="920">
        <f t="shared" ref="AV225:AV226" si="18">IFERROR(IF(AU225=0,0,ROUND(AU225/AT225-1,4)),0)</f>
        <v>0</v>
      </c>
      <c r="AW225" s="920">
        <f t="shared" ca="1" si="15"/>
        <v>0</v>
      </c>
      <c r="AX225" s="920">
        <f t="shared" ref="AX225" ca="1" si="19">AU225/$AU$237</f>
        <v>0</v>
      </c>
      <c r="AY225" s="913">
        <f ca="1">IF(AW225=0,0,1)</f>
        <v>0</v>
      </c>
    </row>
    <row r="226" spans="2:51" ht="12.75" hidden="1">
      <c r="C226" s="28"/>
      <c r="H226" s="23"/>
      <c r="AS226" s="918" t="str">
        <f t="shared" ref="AS226:AT229" si="20">I81</f>
        <v>Encargos Serv. Sist. - ESS e Energ. Reserv. – EER</v>
      </c>
      <c r="AT226" s="919">
        <f t="shared" ca="1" si="20"/>
        <v>0</v>
      </c>
      <c r="AU226" s="919">
        <f>Resultado!D20</f>
        <v>0</v>
      </c>
      <c r="AV226" s="920">
        <f t="shared" si="18"/>
        <v>0</v>
      </c>
      <c r="AW226" s="920">
        <f t="shared" ca="1" si="15"/>
        <v>0</v>
      </c>
      <c r="AX226" s="920">
        <f t="shared" ref="AX226:AX239" ca="1" si="21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8" t="str">
        <f t="shared" si="20"/>
        <v>PROINFA</v>
      </c>
      <c r="AT227" s="919">
        <f t="shared" ca="1" si="20"/>
        <v>853401.01320259506</v>
      </c>
      <c r="AU227" s="919">
        <f ca="1">Resultado!D21</f>
        <v>1291204.2324600006</v>
      </c>
      <c r="AV227" s="920">
        <f ca="1">IF(AU227=0,0,ROUND(AU227/AT227-1,4))</f>
        <v>0.51300000000000001</v>
      </c>
      <c r="AW227" s="920">
        <f t="shared" ca="1" si="15"/>
        <v>8.0394000728925743E-3</v>
      </c>
      <c r="AX227" s="920">
        <f t="shared" ca="1" si="21"/>
        <v>2.2119348367772653E-2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8" t="str">
        <f t="shared" si="20"/>
        <v>P&amp;D e Eficiência Energética</v>
      </c>
      <c r="AT228" s="919">
        <f t="shared" ca="1" si="20"/>
        <v>0</v>
      </c>
      <c r="AU228" s="919">
        <f>Resultado!D22</f>
        <v>0</v>
      </c>
      <c r="AV228" s="920">
        <f>IF(AU228=0,0,ROUND(AU228/AT228-1,4))</f>
        <v>0</v>
      </c>
      <c r="AW228" s="920">
        <f t="shared" ca="1" si="15"/>
        <v>0</v>
      </c>
      <c r="AX228" s="920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8" t="str">
        <f t="shared" si="20"/>
        <v>ONS</v>
      </c>
      <c r="AT229" s="919">
        <f t="shared" ca="1" si="20"/>
        <v>0</v>
      </c>
      <c r="AU229" s="919">
        <f>Resultado!D23</f>
        <v>0</v>
      </c>
      <c r="AV229" s="920">
        <f t="shared" si="14"/>
        <v>0</v>
      </c>
      <c r="AW229" s="920">
        <f t="shared" ca="1" si="15"/>
        <v>0</v>
      </c>
      <c r="AX229" s="920">
        <f t="shared" ca="1" si="21"/>
        <v>0</v>
      </c>
      <c r="AY229" s="318">
        <v>0</v>
      </c>
    </row>
    <row r="230" spans="2:51" ht="15" customHeight="1">
      <c r="C230" s="307"/>
      <c r="H230" s="23"/>
      <c r="AS230" s="1096" t="s">
        <v>836</v>
      </c>
      <c r="AT230" s="1097">
        <f ca="1">AT231</f>
        <v>14158165.283587661</v>
      </c>
      <c r="AU230" s="1097">
        <f ca="1">AU231</f>
        <v>12991706.553677499</v>
      </c>
      <c r="AV230" s="1098">
        <f ca="1">IF(AU230=0,0,ROUND(AU230/AT230-1,4))</f>
        <v>-8.2400000000000001E-2</v>
      </c>
      <c r="AW230" s="1098">
        <f ca="1">AW231</f>
        <v>-2.1419733765713524E-2</v>
      </c>
      <c r="AX230" s="1098">
        <f t="shared" ca="1" si="21"/>
        <v>0.22255819484511324</v>
      </c>
      <c r="AY230" s="318">
        <f t="shared" ca="1" si="16"/>
        <v>1</v>
      </c>
    </row>
    <row r="231" spans="2:51" ht="15" customHeight="1">
      <c r="C231" s="307"/>
      <c r="H231" s="23"/>
      <c r="AS231" s="918" t="s">
        <v>796</v>
      </c>
      <c r="AT231" s="919">
        <f ca="1">J86</f>
        <v>14158165.283587661</v>
      </c>
      <c r="AU231" s="919">
        <f ca="1">Resultado!D33</f>
        <v>12991706.553677499</v>
      </c>
      <c r="AV231" s="920">
        <f ca="1">IF(AU231=0,0,ROUND(AU231/AT231-1,4))</f>
        <v>-8.2400000000000001E-2</v>
      </c>
      <c r="AW231" s="920">
        <f ca="1">(AU231-AT231)/$AT$237</f>
        <v>-2.1419733765713524E-2</v>
      </c>
      <c r="AX231" s="920">
        <f t="shared" ca="1" si="21"/>
        <v>0.22255819484511324</v>
      </c>
      <c r="AY231" s="318">
        <f t="shared" ca="1" si="16"/>
        <v>1</v>
      </c>
    </row>
    <row r="232" spans="2:51" ht="15" customHeight="1">
      <c r="AS232" s="1096" t="s">
        <v>837</v>
      </c>
      <c r="AT232" s="1097">
        <f ca="1">SUM(AT233:AT236)</f>
        <v>9288497.3007001765</v>
      </c>
      <c r="AU232" s="1097">
        <f>SUM(AU233:AU236)</f>
        <v>10275212.197579999</v>
      </c>
      <c r="AV232" s="1098">
        <f ca="1">IF(AU232=0,0,ROUND(AU232/AT232-1,4))</f>
        <v>0.1062</v>
      </c>
      <c r="AW232" s="1098">
        <f ca="1">SUM(AW233:AW236)</f>
        <v>1.811908973021022E-2</v>
      </c>
      <c r="AX232" s="1098">
        <f t="shared" ca="1" si="21"/>
        <v>0.1760225008851182</v>
      </c>
      <c r="AY232" s="318">
        <f t="shared" ca="1" si="16"/>
        <v>1</v>
      </c>
    </row>
    <row r="233" spans="2:51" ht="15" hidden="1" customHeight="1">
      <c r="AS233" s="918" t="str">
        <f>Resultado!B25</f>
        <v>Rede Básica</v>
      </c>
      <c r="AT233" s="919">
        <f ca="1">J88</f>
        <v>0</v>
      </c>
      <c r="AU233" s="919">
        <f>Resultado!D25</f>
        <v>0</v>
      </c>
      <c r="AV233" s="920">
        <f>IF(AU233=0,0,ROUND(AU233/AT233-1,3))</f>
        <v>0</v>
      </c>
      <c r="AW233" s="920">
        <f ca="1">(AU233-AT233)/$AT$237</f>
        <v>0</v>
      </c>
      <c r="AX233" s="920">
        <f t="shared" ca="1" si="21"/>
        <v>0</v>
      </c>
      <c r="AY233" s="318">
        <f t="shared" ca="1" si="16"/>
        <v>0</v>
      </c>
    </row>
    <row r="234" spans="2:51" ht="15" hidden="1" customHeight="1">
      <c r="AS234" s="918" t="str">
        <f>Resultado!B26</f>
        <v>Rede Básica Fronteira</v>
      </c>
      <c r="AT234" s="919">
        <f ca="1">J89</f>
        <v>0</v>
      </c>
      <c r="AU234" s="919">
        <f>Resultado!D26</f>
        <v>0</v>
      </c>
      <c r="AV234" s="920">
        <f t="shared" si="14"/>
        <v>0</v>
      </c>
      <c r="AW234" s="920">
        <f ca="1">(AU234-AT234)/$AT$237</f>
        <v>0</v>
      </c>
      <c r="AX234" s="920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8" t="str">
        <f>Resultado!B32</f>
        <v>Uso do sistema de distribuição</v>
      </c>
      <c r="AT236" s="919">
        <f ca="1">J95</f>
        <v>9288497.3007001765</v>
      </c>
      <c r="AU236" s="919">
        <f>Resultado!D32</f>
        <v>10275212.197579999</v>
      </c>
      <c r="AV236" s="920">
        <f ca="1">IF(AU236=0,0,ROUND(AU236/AT236-1,4))</f>
        <v>0.1062</v>
      </c>
      <c r="AW236" s="920">
        <f ca="1">(AU236-AT236)/$AT$237</f>
        <v>1.811908973021022E-2</v>
      </c>
      <c r="AX236" s="920">
        <f t="shared" ca="1" si="21"/>
        <v>0.1760225008851182</v>
      </c>
      <c r="AY236" s="318">
        <f t="shared" ca="1" si="16"/>
        <v>1</v>
      </c>
    </row>
    <row r="237" spans="2:51" ht="15" hidden="1" customHeight="1">
      <c r="C237" s="19"/>
      <c r="AS237" s="1096" t="s">
        <v>838</v>
      </c>
      <c r="AT237" s="1097">
        <f ca="1">Mercado_RA0_Reais</f>
        <v>54457200.200000003</v>
      </c>
      <c r="AU237" s="1097">
        <f ca="1">AU219+AU230+AU232+AU239</f>
        <v>58374424.553177767</v>
      </c>
      <c r="AV237" s="1099"/>
      <c r="AW237" s="1099"/>
      <c r="AX237" s="1098">
        <f t="shared" ca="1" si="21"/>
        <v>1</v>
      </c>
      <c r="AY237" s="318">
        <f t="shared" si="16"/>
        <v>0</v>
      </c>
    </row>
    <row r="238" spans="2:51" ht="15" customHeight="1">
      <c r="C238" s="19"/>
      <c r="AS238" s="1100" t="s">
        <v>839</v>
      </c>
      <c r="AT238" s="1101">
        <f ca="1">AT219+AT230+AT232</f>
        <v>29667614.779906064</v>
      </c>
      <c r="AU238" s="1101">
        <f ca="1">AU219+AU230+AU232</f>
        <v>32374424.553177767</v>
      </c>
      <c r="AV238" s="1102">
        <f ca="1">IF(AU238=0,0,ROUND(AU238/AT238-1,4))</f>
        <v>9.1200000000000003E-2</v>
      </c>
      <c r="AW238" s="1102">
        <f ca="1">(AU238-AT238)/AT237</f>
        <v>4.9705268785957567E-2</v>
      </c>
      <c r="AX238" s="1102">
        <f t="shared" ca="1" si="21"/>
        <v>0.5545994637375038</v>
      </c>
      <c r="AY238" s="318">
        <f t="shared" ca="1" si="16"/>
        <v>1</v>
      </c>
    </row>
    <row r="239" spans="2:51" ht="15" customHeight="1">
      <c r="B239" s="28"/>
      <c r="C239" s="19"/>
      <c r="AS239" s="1100" t="s">
        <v>840</v>
      </c>
      <c r="AT239" s="1101">
        <f ca="1">AT237-AT238</f>
        <v>24789585.420093939</v>
      </c>
      <c r="AU239" s="1101">
        <f>Resultado!D39</f>
        <v>26000000</v>
      </c>
      <c r="AV239" s="1102">
        <f ca="1">IF(AU239=0,0,ROUND(AU239/AT239-1,4))</f>
        <v>4.8800000000000003E-2</v>
      </c>
      <c r="AW239" s="1102">
        <f ca="1">(AU239-AT239)/AT237</f>
        <v>2.2226897002796359E-2</v>
      </c>
      <c r="AX239" s="1102">
        <f t="shared" ca="1" si="21"/>
        <v>0.44540053626249615</v>
      </c>
      <c r="AY239" s="318">
        <f t="shared" ca="1" si="16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7.1900000000000006E-2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6"/>
        <v>0</v>
      </c>
    </row>
    <row r="242" spans="2:51" ht="15" customHeight="1">
      <c r="AS242" s="1096" t="s">
        <v>841</v>
      </c>
      <c r="AT242" s="1106"/>
      <c r="AU242" s="1106"/>
      <c r="AV242" s="1107"/>
      <c r="AW242" s="1098" t="s">
        <v>842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865305.55296727712</v>
      </c>
      <c r="AV243" s="926"/>
      <c r="AW243" s="926">
        <f ca="1">AU243/Financeiros!$D$4</f>
        <v>1.588964452431172E-2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2">AM168</f>
        <v>Neutralidade Encargos Setoriais</v>
      </c>
      <c r="AT244" s="924"/>
      <c r="AU244" s="925">
        <f t="shared" ref="AU244:AU283" ca="1" si="23">AN168</f>
        <v>212834.36761048861</v>
      </c>
      <c r="AV244" s="926"/>
      <c r="AW244" s="926">
        <f ca="1">AU244/Financeiros!$D$4</f>
        <v>3.9082870002282747E-3</v>
      </c>
      <c r="AX244" s="923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4" t="str">
        <f t="shared" si="22"/>
        <v>Neutralidade Financeiros e Encargos Conta Covid</v>
      </c>
      <c r="AT245" s="924"/>
      <c r="AU245" s="925">
        <f t="shared" ca="1" si="23"/>
        <v>0</v>
      </c>
      <c r="AV245" s="926"/>
      <c r="AW245" s="926">
        <f ca="1">AU245/Financeiros!$D$4</f>
        <v>0</v>
      </c>
      <c r="AX245" s="923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2"/>
        <v>Neutralidades Crédito de Pis cofins</v>
      </c>
      <c r="AT246" s="924"/>
      <c r="AU246" s="925">
        <f t="shared" ca="1" si="23"/>
        <v>0</v>
      </c>
      <c r="AV246" s="926"/>
      <c r="AW246" s="926">
        <f ca="1">AU246/Financeiros!$D$4</f>
        <v>0</v>
      </c>
      <c r="AX246" s="923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4" t="str">
        <f t="shared" si="22"/>
        <v>Ajuste CUST RB + PIS Cofins</v>
      </c>
      <c r="AT247" s="924"/>
      <c r="AU247" s="925">
        <f t="shared" si="23"/>
        <v>0</v>
      </c>
      <c r="AV247" s="926"/>
      <c r="AW247" s="926">
        <f ca="1">AU247/Financeiros!$D$4</f>
        <v>0</v>
      </c>
      <c r="AX247" s="923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2"/>
        <v>0</v>
      </c>
      <c r="AT248" s="924"/>
      <c r="AU248" s="925">
        <f t="shared" si="23"/>
        <v>0</v>
      </c>
      <c r="AV248" s="926"/>
      <c r="AW248" s="926">
        <f ca="1">AU248/Financeiros!$D$4</f>
        <v>0</v>
      </c>
      <c r="AX248" s="923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2"/>
        <v>0</v>
      </c>
      <c r="AT249" s="924"/>
      <c r="AU249" s="925">
        <f t="shared" si="23"/>
        <v>0</v>
      </c>
      <c r="AV249" s="926"/>
      <c r="AW249" s="926">
        <f ca="1">AU249/Financeiros!$D$4</f>
        <v>0</v>
      </c>
      <c r="AX249" s="923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2"/>
        <v>Manual de Contabilidade do Setor Elétrico</v>
      </c>
      <c r="AT250" s="924"/>
      <c r="AU250" s="925">
        <f t="shared" si="23"/>
        <v>0</v>
      </c>
      <c r="AV250" s="926"/>
      <c r="AW250" s="926">
        <f ca="1">AU250/Financeiros!$D$4</f>
        <v>0</v>
      </c>
      <c r="AX250" s="923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2"/>
        <v>Financeiro CDE Eletrobras</v>
      </c>
      <c r="AT251" s="924"/>
      <c r="AU251" s="925">
        <f t="shared" si="23"/>
        <v>0</v>
      </c>
      <c r="AV251" s="926"/>
      <c r="AW251" s="926">
        <f ca="1">AU251/Financeiros!$D$4</f>
        <v>0</v>
      </c>
      <c r="AX251" s="923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2"/>
        <v>Ajustes Processo Anterior</v>
      </c>
      <c r="AT252" s="924"/>
      <c r="AU252" s="925">
        <f t="shared" si="23"/>
        <v>0</v>
      </c>
      <c r="AV252" s="926"/>
      <c r="AW252" s="926">
        <f ca="1">AU252/Financeiros!$D$4</f>
        <v>0</v>
      </c>
      <c r="AX252" s="923"/>
      <c r="AY252" s="318">
        <f t="shared" ca="1" si="24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4" t="str">
        <f t="shared" si="22"/>
        <v>Compensação DIC FIC</v>
      </c>
      <c r="AT253" s="924"/>
      <c r="AU253" s="925">
        <f t="shared" si="23"/>
        <v>-22050.655122158136</v>
      </c>
      <c r="AV253" s="926"/>
      <c r="AW253" s="926">
        <f ca="1">AU253/Financeiros!$D$4</f>
        <v>-4.0491716506127202E-4</v>
      </c>
      <c r="AX253" s="923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4" t="str">
        <f t="shared" si="22"/>
        <v>Subvenção CDE</v>
      </c>
      <c r="AT254" s="924"/>
      <c r="AU254" s="925">
        <f t="shared" ca="1" si="23"/>
        <v>-11769398.069312805</v>
      </c>
      <c r="AV254" s="926"/>
      <c r="AW254" s="926">
        <f ca="1">AU254/Financeiros!$D$4</f>
        <v>-0.21612198251265963</v>
      </c>
      <c r="AX254" s="923"/>
      <c r="AY254" s="913">
        <f t="shared" ref="AY254:AY256" ca="1" si="25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4" t="str">
        <f t="shared" si="22"/>
        <v>Retenção de Adicionais de Bandeiras Tarifárias</v>
      </c>
      <c r="AT255" s="924"/>
      <c r="AU255" s="925">
        <f t="shared" si="23"/>
        <v>-662461.38184623118</v>
      </c>
      <c r="AV255" s="926"/>
      <c r="AW255" s="926">
        <f ca="1">AU255/Financeiros!$D$4</f>
        <v>-1.2164807948503954E-2</v>
      </c>
      <c r="AX255" s="923"/>
      <c r="AY255" s="913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2"/>
        <v>Multa LPT</v>
      </c>
      <c r="AT256" s="924"/>
      <c r="AU256" s="925">
        <f t="shared" si="23"/>
        <v>0</v>
      </c>
      <c r="AV256" s="926"/>
      <c r="AW256" s="926">
        <f ca="1">AU256/Financeiros!$D$4</f>
        <v>0</v>
      </c>
      <c r="AX256" s="923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2"/>
        <v xml:space="preserve">Repasse de ICMS </v>
      </c>
      <c r="AT257" s="924"/>
      <c r="AU257" s="925">
        <f t="shared" si="23"/>
        <v>0</v>
      </c>
      <c r="AV257" s="926"/>
      <c r="AW257" s="926">
        <f ca="1">AU257/Financeiros!$D$4</f>
        <v>0</v>
      </c>
      <c r="AX257" s="923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2"/>
        <v>0</v>
      </c>
      <c r="AT258" s="924"/>
      <c r="AU258" s="925">
        <f t="shared" si="23"/>
        <v>0</v>
      </c>
      <c r="AV258" s="926"/>
      <c r="AW258" s="926">
        <f ca="1">AU258/Financeiros!$D$4</f>
        <v>0</v>
      </c>
      <c r="AX258" s="923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2"/>
        <v>Ressarcimento P&amp;D</v>
      </c>
      <c r="AT259" s="924"/>
      <c r="AU259" s="925">
        <f t="shared" si="23"/>
        <v>0</v>
      </c>
      <c r="AV259" s="926"/>
      <c r="AW259" s="926">
        <f ca="1">AU259/Financeiros!$D$4</f>
        <v>0</v>
      </c>
      <c r="AX259" s="923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2"/>
        <v>Efeito Conta COVID</v>
      </c>
      <c r="AT260" s="924"/>
      <c r="AU260" s="925">
        <f t="shared" si="23"/>
        <v>0</v>
      </c>
      <c r="AV260" s="926"/>
      <c r="AW260" s="926">
        <f ca="1">AU260/Financeiros!$D$4</f>
        <v>0</v>
      </c>
      <c r="AX260" s="923"/>
      <c r="AY260" s="913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4" t="str">
        <f t="shared" si="22"/>
        <v>Diferimento de Parcela B</v>
      </c>
      <c r="AT261" s="924"/>
      <c r="AU261" s="925">
        <f t="shared" si="23"/>
        <v>0</v>
      </c>
      <c r="AV261" s="926"/>
      <c r="AW261" s="926">
        <f ca="1">AU261/Financeiros!$D$4</f>
        <v>0</v>
      </c>
      <c r="AX261" s="923"/>
      <c r="AY261" s="913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2"/>
        <v>Efeito COVID da Supridora</v>
      </c>
      <c r="AT262" s="924"/>
      <c r="AU262" s="925">
        <f t="shared" si="23"/>
        <v>0</v>
      </c>
      <c r="AV262" s="926"/>
      <c r="AW262" s="926">
        <f ca="1">AU262/Financeiros!$D$4</f>
        <v>0</v>
      </c>
      <c r="AX262" s="923"/>
      <c r="AY262" s="916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2"/>
        <v>Crédito de Pis Cofins sobre ICMS</v>
      </c>
      <c r="AT263" s="924"/>
      <c r="AU263" s="925">
        <f t="shared" si="23"/>
        <v>0</v>
      </c>
      <c r="AV263" s="926"/>
      <c r="AW263" s="926">
        <f ca="1">AU263/Financeiros!$D$4</f>
        <v>0</v>
      </c>
      <c r="AX263" s="923"/>
      <c r="AY263" s="916">
        <f t="shared" ca="1" si="28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4" t="str">
        <f t="shared" si="22"/>
        <v>Diferimento de PIS COFINS</v>
      </c>
      <c r="AT264" s="924"/>
      <c r="AU264" s="925">
        <f t="shared" ca="1" si="23"/>
        <v>-865305.55296727712</v>
      </c>
      <c r="AV264" s="926"/>
      <c r="AW264" s="926">
        <f ca="1">AU264/Financeiros!$D$4</f>
        <v>-1.588964452431172E-2</v>
      </c>
      <c r="AX264" s="923"/>
      <c r="AY264" s="916">
        <f t="shared" ref="AY264:AY271" ca="1" si="29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2"/>
        <v>0</v>
      </c>
      <c r="AT265" s="924"/>
      <c r="AU265" s="925">
        <f t="shared" si="23"/>
        <v>0</v>
      </c>
      <c r="AV265" s="926"/>
      <c r="AW265" s="926">
        <f ca="1">AU265/Financeiros!$D$4</f>
        <v>0</v>
      </c>
      <c r="AX265" s="923"/>
      <c r="AY265" s="916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4" t="str">
        <f t="shared" si="22"/>
        <v>Financeiros associados ao §7º do Art. 88 da Ren 414/2021</v>
      </c>
      <c r="AT266" s="924"/>
      <c r="AU266" s="925">
        <f t="shared" si="23"/>
        <v>0</v>
      </c>
      <c r="AV266" s="926"/>
      <c r="AW266" s="926">
        <f ca="1">AU266/Financeiros!$D$4</f>
        <v>0</v>
      </c>
      <c r="AX266" s="923"/>
      <c r="AY266" s="916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4" t="str">
        <f t="shared" si="22"/>
        <v>Spread Conta Covid</v>
      </c>
      <c r="AT267" s="924"/>
      <c r="AU267" s="925">
        <f t="shared" si="23"/>
        <v>0</v>
      </c>
      <c r="AV267" s="926"/>
      <c r="AW267" s="926">
        <f ca="1">AU267/Financeiros!$D$4</f>
        <v>0</v>
      </c>
      <c r="AX267" s="923"/>
      <c r="AY267" s="916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2"/>
        <v>Diferimento de Energia</v>
      </c>
      <c r="AT268" s="924"/>
      <c r="AU268" s="925">
        <f t="shared" si="23"/>
        <v>0</v>
      </c>
      <c r="AV268" s="926"/>
      <c r="AW268" s="926">
        <f ca="1">AU268/Financeiros!$D$4</f>
        <v>0</v>
      </c>
      <c r="AX268" s="923"/>
      <c r="AY268" s="916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2"/>
        <v xml:space="preserve">Reversão do Diferimento de Compra de Energia </v>
      </c>
      <c r="AT269" s="924"/>
      <c r="AU269" s="925">
        <f t="shared" si="23"/>
        <v>0</v>
      </c>
      <c r="AV269" s="926"/>
      <c r="AW269" s="926">
        <f ca="1">AU269/Financeiros!$D$4</f>
        <v>0</v>
      </c>
      <c r="AX269" s="923"/>
      <c r="AY269" s="916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2"/>
        <v>Reversão do Diferimento de Parcela B</v>
      </c>
      <c r="AT270" s="924"/>
      <c r="AU270" s="925">
        <f t="shared" si="23"/>
        <v>0</v>
      </c>
      <c r="AV270" s="926"/>
      <c r="AW270" s="926">
        <f ca="1">AU270/Financeiros!$D$4</f>
        <v>0</v>
      </c>
      <c r="AX270" s="923"/>
      <c r="AY270" s="916">
        <f t="shared" ca="1" si="29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4" t="str">
        <f t="shared" si="22"/>
        <v>Reversão do Diferimento de Pis Cofins</v>
      </c>
      <c r="AT271" s="924"/>
      <c r="AU271" s="925">
        <f t="shared" si="23"/>
        <v>2480200.2097501578</v>
      </c>
      <c r="AV271" s="926"/>
      <c r="AW271" s="926">
        <f ca="1">AU271/Financeiros!$D$4</f>
        <v>4.5544027247845134E-2</v>
      </c>
      <c r="AX271" s="923"/>
      <c r="AY271" s="916">
        <f t="shared" ca="1" si="29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30">AM196</f>
        <v>0</v>
      </c>
      <c r="AT272" s="924"/>
      <c r="AU272" s="925">
        <f t="shared" si="23"/>
        <v>0</v>
      </c>
      <c r="AV272" s="926"/>
      <c r="AW272" s="926">
        <f ca="1">AU272/Financeiros!$D$4</f>
        <v>0</v>
      </c>
      <c r="AX272" s="923"/>
      <c r="AY272" s="913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4" t="str">
        <f t="shared" si="30"/>
        <v>CVE - Energia</v>
      </c>
      <c r="AT273" s="924"/>
      <c r="AU273" s="925">
        <f t="shared" ca="1" si="23"/>
        <v>0</v>
      </c>
      <c r="AV273" s="926"/>
      <c r="AW273" s="926">
        <f ca="1">AU273/Financeiros!$D$4</f>
        <v>0</v>
      </c>
      <c r="AX273" s="923"/>
      <c r="AY273" s="913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4" t="str">
        <f t="shared" si="30"/>
        <v>CVE - Encargos</v>
      </c>
      <c r="AT274" s="924"/>
      <c r="AU274" s="925">
        <f t="shared" si="23"/>
        <v>0</v>
      </c>
      <c r="AV274" s="926"/>
      <c r="AW274" s="926">
        <f ca="1">AU274/Financeiros!$D$4</f>
        <v>0</v>
      </c>
      <c r="AX274" s="923"/>
      <c r="AY274" s="913">
        <f t="shared" ca="1" si="31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4" t="str">
        <f t="shared" si="30"/>
        <v>Conta Escassez</v>
      </c>
      <c r="AT275" s="924"/>
      <c r="AU275" s="925">
        <f t="shared" ca="1" si="23"/>
        <v>0</v>
      </c>
      <c r="AV275" s="926"/>
      <c r="AW275" s="926">
        <f ca="1">AU275/Financeiros!$D$4</f>
        <v>0</v>
      </c>
      <c r="AX275" s="923"/>
      <c r="AY275" s="913">
        <f t="shared" ca="1" si="31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30"/>
        <v>0</v>
      </c>
      <c r="AT276" s="924"/>
      <c r="AU276" s="925">
        <f t="shared" si="23"/>
        <v>0</v>
      </c>
      <c r="AV276" s="926"/>
      <c r="AW276" s="926">
        <f ca="1">AU276/Financeiros!$D$4</f>
        <v>0</v>
      </c>
      <c r="AX276" s="923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2">AM201</f>
        <v>0</v>
      </c>
      <c r="AT277" s="924"/>
      <c r="AU277" s="925">
        <f t="shared" si="23"/>
        <v>0</v>
      </c>
      <c r="AV277" s="926"/>
      <c r="AW277" s="926">
        <f ca="1">AU277/Financeiros!$D$4</f>
        <v>0</v>
      </c>
      <c r="AX277" s="923"/>
      <c r="AY277" s="913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4" t="str">
        <f t="shared" si="32"/>
        <v>Sobrecontratação/Exposição de Energia</v>
      </c>
      <c r="AT278" s="924"/>
      <c r="AU278" s="925">
        <f t="shared" ca="1" si="23"/>
        <v>0</v>
      </c>
      <c r="AV278" s="926"/>
      <c r="AW278" s="926">
        <f ca="1">AU278/Financeiros!$D$4</f>
        <v>0</v>
      </c>
      <c r="AX278" s="923"/>
      <c r="AY278" s="913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4" t="str">
        <f t="shared" si="32"/>
        <v>Reversão de Risco Hidrológico</v>
      </c>
      <c r="AT279" s="924"/>
      <c r="AU279" s="925">
        <f t="shared" ca="1" si="23"/>
        <v>0</v>
      </c>
      <c r="AV279" s="926"/>
      <c r="AW279" s="926">
        <f ca="1">AU279/Financeiros!$D$4</f>
        <v>0</v>
      </c>
      <c r="AX279" s="923"/>
      <c r="AY279" s="913">
        <f t="shared" ca="1" si="33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4" t="str">
        <f t="shared" si="32"/>
        <v>Previsão de Risco Hidrologico</v>
      </c>
      <c r="AT280" s="924"/>
      <c r="AU280" s="925">
        <f t="shared" ca="1" si="23"/>
        <v>0</v>
      </c>
      <c r="AV280" s="926"/>
      <c r="AW280" s="926">
        <f ca="1">AU280/Financeiros!$D$4</f>
        <v>0</v>
      </c>
      <c r="AX280" s="923"/>
      <c r="AY280" s="913">
        <f t="shared" ca="1" si="33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 t="str">
        <f t="shared" si="32"/>
        <v>Diferimento da Previsão do Risco Hidrológico</v>
      </c>
      <c r="AT281" s="924"/>
      <c r="AU281" s="925">
        <f t="shared" si="23"/>
        <v>0</v>
      </c>
      <c r="AV281" s="926"/>
      <c r="AW281" s="926">
        <f ca="1">AU281/Financeiros!$D$4</f>
        <v>0</v>
      </c>
      <c r="AX281" s="923"/>
      <c r="AY281" s="913">
        <f t="shared" ca="1" si="33"/>
        <v>0</v>
      </c>
    </row>
    <row r="282" spans="2:53" ht="15" customHeight="1">
      <c r="B282" s="343"/>
      <c r="C282" s="344"/>
      <c r="D282" s="344"/>
      <c r="E282" s="344"/>
      <c r="F282" s="345"/>
      <c r="G282" s="345"/>
      <c r="H282" s="345"/>
      <c r="AS282" s="924" t="str">
        <f t="shared" ref="AS282:AS283" si="34">AM206</f>
        <v>Diferimento CUSD</v>
      </c>
      <c r="AT282" s="924"/>
      <c r="AU282" s="925">
        <f t="shared" si="23"/>
        <v>-2500000</v>
      </c>
      <c r="AV282" s="926"/>
      <c r="AW282" s="926">
        <f ca="1">AU282/Financeiros!$D$4</f>
        <v>-4.5907611680704799E-2</v>
      </c>
      <c r="AX282" s="923"/>
      <c r="AY282" s="913">
        <f t="shared" ref="AY282:AY283" ca="1" si="35">IF(AW282=0,0,1)</f>
        <v>1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4"/>
        <v>0</v>
      </c>
      <c r="AT283" s="924"/>
      <c r="AU283" s="925">
        <f t="shared" si="23"/>
        <v>0</v>
      </c>
      <c r="AV283" s="926"/>
      <c r="AW283" s="926">
        <f ca="1">AU283/Financeiros!$D$4</f>
        <v>0</v>
      </c>
      <c r="AX283" s="923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843</v>
      </c>
      <c r="AT284" s="1103"/>
      <c r="AU284" s="1108">
        <f ca="1">SUM(AU243:AU283)</f>
        <v>-12260875.528920546</v>
      </c>
      <c r="AV284" s="1109"/>
      <c r="AW284" s="1109">
        <f ca="1">ROUND(SUM(AW243:AW283),4)</f>
        <v>-0.22509999999999999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-0.1532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844</v>
      </c>
      <c r="AT286" s="1103"/>
      <c r="AU286" s="1103"/>
      <c r="AV286" s="1103"/>
      <c r="AW286" s="1112">
        <f ca="1">ROUND(AW288-AW285,4)</f>
        <v>0.25069999999999998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845</v>
      </c>
      <c r="AT287" s="1113"/>
      <c r="AU287" s="1108"/>
      <c r="AV287" s="1108"/>
      <c r="AW287" s="1114">
        <v>0</v>
      </c>
      <c r="AX287" s="1115"/>
      <c r="AY287" s="318">
        <f t="shared" si="16"/>
        <v>0</v>
      </c>
      <c r="BA287" s="769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0" t="s">
        <v>846</v>
      </c>
      <c r="AT288" s="1830"/>
      <c r="AU288" s="1830"/>
      <c r="AV288" s="1830"/>
      <c r="AW288" s="1111">
        <f>Resultado!L5</f>
        <v>9.7521035077307694E-2</v>
      </c>
      <c r="AX288" s="1111"/>
      <c r="AY288" s="318"/>
    </row>
    <row r="289" spans="2:84" ht="15" customHeight="1">
      <c r="AW289" s="771">
        <v>-0.1116</v>
      </c>
      <c r="BA289" s="1094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9" t="s">
        <v>849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850</v>
      </c>
      <c r="BE290" s="929" t="s">
        <v>851</v>
      </c>
      <c r="BF290" s="929" t="s">
        <v>852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0</v>
      </c>
      <c r="BG291" s="930">
        <f t="shared" ref="BG291:BH296" si="36">BQ311</f>
        <v>0</v>
      </c>
      <c r="BH291" s="930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9">BP312</f>
        <v>126.67101481007269</v>
      </c>
      <c r="BG292" s="931">
        <f t="shared" si="36"/>
        <v>1420.9031206238662</v>
      </c>
      <c r="BH292" s="931">
        <f t="shared" si="36"/>
        <v>1547.5741354339389</v>
      </c>
      <c r="BI292" s="352" t="e">
        <f>Indexador!#REF!</f>
        <v>#REF!</v>
      </c>
      <c r="BJ292" s="333">
        <f t="shared" si="37"/>
        <v>1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9"/>
        <v>0</v>
      </c>
      <c r="BG293" s="931">
        <f t="shared" si="36"/>
        <v>0</v>
      </c>
      <c r="BH293" s="931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9"/>
        <v>-294.71556428033</v>
      </c>
      <c r="BG294" s="931">
        <f t="shared" si="36"/>
        <v>4347.0562685329214</v>
      </c>
      <c r="BH294" s="931">
        <f t="shared" si="36"/>
        <v>4052.3407042525914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9"/>
        <v>-29971.721910984332</v>
      </c>
      <c r="BG295" s="931">
        <f t="shared" si="36"/>
        <v>110559.08975179103</v>
      </c>
      <c r="BH295" s="931">
        <f t="shared" si="36"/>
        <v>80587.367840806706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9"/>
        <v>-379.05536016054248</v>
      </c>
      <c r="BG296" s="931">
        <f t="shared" si="36"/>
        <v>4699.9595168518726</v>
      </c>
      <c r="BH296" s="931">
        <f t="shared" si="36"/>
        <v>4320.9041566913302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760</v>
      </c>
      <c r="BB297" s="1116" t="e">
        <f t="shared" ref="BB297:BI297" si="40">SUM(BB291:BB296)</f>
        <v>#REF!</v>
      </c>
      <c r="BC297" s="1116" t="e">
        <f t="shared" si="40"/>
        <v>#REF!</v>
      </c>
      <c r="BD297" s="1116" t="e">
        <f t="shared" si="40"/>
        <v>#REF!</v>
      </c>
      <c r="BE297" s="1116" t="e">
        <f t="shared" si="40"/>
        <v>#REF!</v>
      </c>
      <c r="BF297" s="1117">
        <f t="shared" si="40"/>
        <v>-30518.821820615132</v>
      </c>
      <c r="BG297" s="1117">
        <f t="shared" si="40"/>
        <v>121027.0086577997</v>
      </c>
      <c r="BH297" s="1117">
        <f t="shared" si="40"/>
        <v>90508.186837184578</v>
      </c>
      <c r="BI297" s="1118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853</v>
      </c>
      <c r="BL299" s="1119" t="s">
        <v>793</v>
      </c>
      <c r="BM299" s="1119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854</v>
      </c>
      <c r="BL308" s="1118">
        <f ca="1">SUM(BL300:BL307)</f>
        <v>0</v>
      </c>
      <c r="BM308" s="1118">
        <f>SUM(BM300:BM307)</f>
        <v>0</v>
      </c>
      <c r="BN308" s="333">
        <f ca="1">IF(BL308=0,0,1)</f>
        <v>0</v>
      </c>
      <c r="BO308" s="1094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(Ceraçá).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856</v>
      </c>
      <c r="BP310" s="1121" t="s">
        <v>857</v>
      </c>
      <c r="BQ310" s="1121" t="s">
        <v>858</v>
      </c>
      <c r="BR310" s="1122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860</v>
      </c>
      <c r="BP311" s="1124">
        <f>IFERROR(Aj.Subsídio!L5,0)</f>
        <v>0</v>
      </c>
      <c r="BQ311" s="1124">
        <f>IFERROR(Aj.Subsídio!M5,0)</f>
        <v>0</v>
      </c>
      <c r="BR311" s="1124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861</v>
      </c>
      <c r="BP312" s="1124">
        <f>IFERROR(Aj.Subsídio!L6,0)</f>
        <v>126.67101481007269</v>
      </c>
      <c r="BQ312" s="1124">
        <f>IFERROR(Aj.Subsídio!M6,0)</f>
        <v>1420.9031206238662</v>
      </c>
      <c r="BR312" s="1125">
        <f t="shared" si="42"/>
        <v>1547.5741354339389</v>
      </c>
      <c r="BS312" s="358">
        <f t="shared" si="43"/>
        <v>1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862</v>
      </c>
      <c r="BP313" s="1124">
        <f>IFERROR(Aj.Subsídio!L7,0)</f>
        <v>0</v>
      </c>
      <c r="BQ313" s="1124">
        <f>IFERROR(Aj.Subsídio!M7,0)</f>
        <v>0</v>
      </c>
      <c r="BR313" s="1125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863</v>
      </c>
      <c r="BP314" s="1124">
        <f>IFERROR(Aj.Subsídio!L8,0)</f>
        <v>-294.71556428033</v>
      </c>
      <c r="BQ314" s="1124">
        <f>IFERROR(Aj.Subsídio!M8,0)</f>
        <v>4347.0562685329214</v>
      </c>
      <c r="BR314" s="1125">
        <f t="shared" si="42"/>
        <v>4052.3407042525914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864</v>
      </c>
      <c r="BP315" s="1124">
        <f>IFERROR(Aj.Subsídio!L9,0)</f>
        <v>-29971.721910984332</v>
      </c>
      <c r="BQ315" s="1124">
        <f>IFERROR(Aj.Subsídio!M9,0)</f>
        <v>110559.08975179103</v>
      </c>
      <c r="BR315" s="1125">
        <f t="shared" si="42"/>
        <v>80587.367840806706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865</v>
      </c>
      <c r="BP316" s="1124">
        <f>IFERROR(Aj.Subsídio!L10,0)</f>
        <v>-379.05536016054248</v>
      </c>
      <c r="BQ316" s="1124">
        <f>IFERROR(Aj.Subsídio!M10,0)</f>
        <v>4699.9595168518726</v>
      </c>
      <c r="BR316" s="1125">
        <f t="shared" si="42"/>
        <v>4320.9041566913302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769</v>
      </c>
      <c r="BP317" s="1124">
        <f>SUM(BP311:BP316)</f>
        <v>-30518.821820615132</v>
      </c>
      <c r="BQ317" s="1124">
        <f>SUM(BQ311:BQ316)</f>
        <v>121027.0086577997</v>
      </c>
      <c r="BR317" s="1125">
        <f t="shared" si="42"/>
        <v>90508.186837184563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7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49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0.54410000000000003</v>
      </c>
      <c r="BW320" s="420">
        <f>Energia!F28</f>
        <v>0.54410000000000003</v>
      </c>
      <c r="BY320" s="23">
        <f t="shared" ref="BY320:BY326" si="44">IF(BU320=0,0,1)</f>
        <v>1</v>
      </c>
      <c r="BZ320" s="648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8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8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8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8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8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0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633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871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24"/>
      <c r="C338" s="1824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24"/>
      <c r="C344" s="1824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24"/>
      <c r="C353" s="1824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67" zoomScaleNormal="100" workbookViewId="0">
      <selection activeCell="C97" sqref="C9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2" customWidth="1"/>
    <col min="7" max="7" width="47.85546875" style="1602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724</v>
      </c>
      <c r="D1" s="1304"/>
      <c r="E1" s="1305"/>
      <c r="F1" s="1595"/>
      <c r="G1" s="1709"/>
      <c r="H1" s="1708"/>
      <c r="I1" s="1593"/>
      <c r="J1" s="1604" t="s">
        <v>873</v>
      </c>
      <c r="K1" s="1231">
        <f ca="1">LnkTXTIRTEco</f>
        <v>7.1900000000000006E-2</v>
      </c>
      <c r="L1" s="1593"/>
      <c r="M1" s="1593"/>
    </row>
    <row r="2" spans="3:23" ht="16.5">
      <c r="C2" s="619" t="str">
        <f>CAPA!B2</f>
        <v>Ceraçá</v>
      </c>
      <c r="D2" s="621"/>
      <c r="E2" s="903"/>
      <c r="F2" s="1596"/>
      <c r="G2" s="1705" t="s">
        <v>2257</v>
      </c>
      <c r="H2" s="1710">
        <f ca="1">LnkTXTEV/LnkTXTER</f>
        <v>0.90086321916189438</v>
      </c>
      <c r="I2" s="903"/>
      <c r="J2" s="1605" t="s">
        <v>877</v>
      </c>
      <c r="K2" s="1606">
        <f ca="1">LnkTXTIRTTotal</f>
        <v>-0.1532</v>
      </c>
      <c r="L2" s="903"/>
      <c r="M2" s="903"/>
    </row>
    <row r="3" spans="3:23" ht="16.5">
      <c r="C3" s="623"/>
      <c r="D3" s="621"/>
      <c r="E3" s="903"/>
      <c r="F3" s="1596"/>
      <c r="G3" s="1706" t="s">
        <v>2259</v>
      </c>
      <c r="H3" s="1711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1278</v>
      </c>
      <c r="D4" s="1770">
        <f ca="1">LnkTXTRA0</f>
        <v>54457200.200000003</v>
      </c>
      <c r="E4" s="904"/>
      <c r="F4" s="1597"/>
      <c r="G4" s="1706" t="s">
        <v>2262</v>
      </c>
      <c r="H4" s="1711">
        <f ca="1">Energia!D11/LnkTXTER</f>
        <v>9.913678083810562E-2</v>
      </c>
      <c r="I4" s="904"/>
      <c r="J4" s="904"/>
      <c r="K4" s="904"/>
      <c r="L4" s="904"/>
      <c r="M4" s="904"/>
    </row>
    <row r="5" spans="3:23" ht="16.5">
      <c r="C5" s="1307" t="s">
        <v>1279</v>
      </c>
      <c r="D5" s="1771">
        <f ca="1">D7</f>
        <v>-12260875.528920548</v>
      </c>
      <c r="E5" s="905"/>
      <c r="F5" s="1598"/>
      <c r="G5" s="1706" t="s">
        <v>2260</v>
      </c>
      <c r="H5" s="1711">
        <f ca="1">Energia!D12/LnkTXTER</f>
        <v>0</v>
      </c>
      <c r="I5" s="905"/>
      <c r="J5" s="905"/>
      <c r="K5" s="905"/>
      <c r="L5" s="905"/>
      <c r="M5" s="905"/>
    </row>
    <row r="6" spans="3:23" ht="16.5">
      <c r="C6" s="622"/>
      <c r="D6" s="1308"/>
      <c r="E6" s="906"/>
      <c r="F6" s="1599"/>
      <c r="G6" s="1707" t="s">
        <v>2261</v>
      </c>
      <c r="H6" s="1712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09" t="s">
        <v>1280</v>
      </c>
      <c r="D7" s="1772">
        <f ca="1">SUM(D9:D100)</f>
        <v>-12260875.528920548</v>
      </c>
      <c r="E7" s="1310">
        <f ca="1">SUM(E9:E100)</f>
        <v>-0.22514700505885621</v>
      </c>
      <c r="F7" s="1600"/>
      <c r="G7" s="1600"/>
      <c r="H7" s="1594"/>
      <c r="I7" s="1594"/>
      <c r="J7" s="1594"/>
      <c r="K7" s="1594"/>
      <c r="L7" s="1594"/>
      <c r="M7" s="1594"/>
    </row>
    <row r="8" spans="3:23" ht="16.5">
      <c r="C8" s="1311" t="s">
        <v>1281</v>
      </c>
      <c r="D8" s="1312" t="s">
        <v>37</v>
      </c>
      <c r="E8" s="1313" t="s">
        <v>1282</v>
      </c>
      <c r="F8" s="1601" t="s">
        <v>22</v>
      </c>
      <c r="G8" s="1601" t="s">
        <v>2276</v>
      </c>
      <c r="H8" s="1607" t="s">
        <v>1283</v>
      </c>
      <c r="I8" s="1607" t="s">
        <v>1284</v>
      </c>
      <c r="J8" s="1607" t="s">
        <v>1285</v>
      </c>
      <c r="K8" s="1607" t="s">
        <v>1286</v>
      </c>
      <c r="L8" s="1607" t="s">
        <v>1287</v>
      </c>
      <c r="M8" s="1607" t="s">
        <v>1288</v>
      </c>
      <c r="O8" s="1586" t="s">
        <v>22</v>
      </c>
      <c r="P8" s="1587" t="s">
        <v>1410</v>
      </c>
      <c r="Q8" s="1588" t="s">
        <v>1411</v>
      </c>
      <c r="R8" s="1588" t="s">
        <v>1412</v>
      </c>
      <c r="T8" s="1569" t="s">
        <v>22</v>
      </c>
      <c r="U8" s="1569" t="s">
        <v>1286</v>
      </c>
      <c r="V8" s="1569" t="s">
        <v>1287</v>
      </c>
      <c r="W8" s="1569" t="s">
        <v>1288</v>
      </c>
    </row>
    <row r="9" spans="3:23" ht="16.5">
      <c r="C9" s="1651" t="s">
        <v>1289</v>
      </c>
      <c r="D9" s="1652">
        <f>IFERROR(ABS(Indexador!$D$49)*'Tributos suprimento'!$C$41,0)</f>
        <v>348651.64813845983</v>
      </c>
      <c r="E9" s="1627">
        <f ca="1">IF(ISERROR(D9/$D$4),0,D9/$D$4)</f>
        <v>6.4023057898312556E-3</v>
      </c>
      <c r="F9" s="1615" t="s">
        <v>2237</v>
      </c>
      <c r="G9" s="1634" t="s">
        <v>2269</v>
      </c>
      <c r="H9" s="1616">
        <f>IFERROR(VLOOKUP(Financeiros[[#This Row],[Tipo]],RefTabTipo[],2,FALSE),0)</f>
        <v>22</v>
      </c>
      <c r="I9" s="1640">
        <f>IFERROR(VLOOKUP(Financeiros[[#This Row],[Tipo]],RefTabTipo[],3,FALSE),0)</f>
        <v>60</v>
      </c>
      <c r="J9" s="1617">
        <f>IFERROR(VLOOKUP(Financeiros[[#This Row],[Tipo]],RefTabTipo[],4,FALSE),0)</f>
        <v>999</v>
      </c>
      <c r="K9" s="1646">
        <f>IFERROR(VLOOKUP(Financeiros[[#This Row],[Grupo Tarifário]],RefTabGrupoTarifa[],2,FALSE),0)</f>
        <v>1</v>
      </c>
      <c r="L9" s="1616">
        <f>IFERROR(VLOOKUP(Financeiros[[#This Row],[Grupo Tarifário]],RefTabGrupoTarifa[],3,FALSE),0)</f>
        <v>7</v>
      </c>
      <c r="M9" s="1646">
        <f>IFERROR(VLOOKUP(Financeiros[[#This Row],[Grupo Tarifário]],RefTabGrupoTarifa[],4,FALSE),0)</f>
        <v>9</v>
      </c>
      <c r="O9" s="1589" t="s">
        <v>2230</v>
      </c>
      <c r="P9" s="1590">
        <v>22</v>
      </c>
      <c r="Q9" s="1590">
        <v>60</v>
      </c>
      <c r="R9" s="1591">
        <v>235</v>
      </c>
      <c r="T9" s="847" t="s">
        <v>2241</v>
      </c>
      <c r="U9" s="1461">
        <v>99</v>
      </c>
      <c r="V9" s="1461">
        <v>999</v>
      </c>
      <c r="W9" s="1461">
        <v>2</v>
      </c>
    </row>
    <row r="10" spans="3:23" ht="16.5">
      <c r="C10" s="1651" t="s">
        <v>2288</v>
      </c>
      <c r="D10" s="1652">
        <f ca="1">IFERROR(ABS(Indexador!$D$49)*'Tributos suprimento'!$D$41*H2,0)</f>
        <v>465434.49989665137</v>
      </c>
      <c r="E10" s="1627">
        <f t="shared" ref="E10:E73" ca="1" si="0">IF(ISERROR(D10/$D$4),0,D10/$D$4)</f>
        <v>8.5467945136234041E-3</v>
      </c>
      <c r="F10" s="1615" t="s">
        <v>2237</v>
      </c>
      <c r="G10" s="1634" t="s">
        <v>2257</v>
      </c>
      <c r="H10" s="1616">
        <f>IFERROR(VLOOKUP(Financeiros[[#This Row],[Tipo]],RefTabTipo[],2,FALSE),0)</f>
        <v>22</v>
      </c>
      <c r="I10" s="1640">
        <f>IFERROR(VLOOKUP(Financeiros[[#This Row],[Tipo]],RefTabTipo[],3,FALSE),0)</f>
        <v>60</v>
      </c>
      <c r="J10" s="1617">
        <f>IFERROR(VLOOKUP(Financeiros[[#This Row],[Tipo]],RefTabTipo[],4,FALSE),0)</f>
        <v>999</v>
      </c>
      <c r="K10" s="1646">
        <f>IFERROR(VLOOKUP(Financeiros[[#This Row],[Grupo Tarifário]],RefTabGrupoTarifa[],2,FALSE),0)</f>
        <v>2</v>
      </c>
      <c r="L10" s="1616">
        <f>IFERROR(VLOOKUP(Financeiros[[#This Row],[Grupo Tarifário]],RefTabGrupoTarifa[],3,FALSE),0)</f>
        <v>11</v>
      </c>
      <c r="M10" s="1646">
        <f>IFERROR(VLOOKUP(Financeiros[[#This Row],[Grupo Tarifário]],RefTabGrupoTarifa[],4,FALSE),0)</f>
        <v>9</v>
      </c>
      <c r="O10" s="1589" t="s">
        <v>2231</v>
      </c>
      <c r="P10" s="1590">
        <v>20</v>
      </c>
      <c r="Q10" s="1590">
        <v>60</v>
      </c>
      <c r="R10" s="1591">
        <v>234</v>
      </c>
      <c r="T10" s="847" t="s">
        <v>2242</v>
      </c>
      <c r="U10" s="1461">
        <v>99</v>
      </c>
      <c r="V10" s="1461">
        <v>999</v>
      </c>
      <c r="W10" s="1461">
        <v>1</v>
      </c>
    </row>
    <row r="11" spans="3:23" ht="16.5">
      <c r="C11" s="1651" t="s">
        <v>2289</v>
      </c>
      <c r="D11" s="1652">
        <f ca="1">IFERROR(ABS(Indexador!$D$49)*'Tributos suprimento'!$D$41*H3,0)</f>
        <v>0</v>
      </c>
      <c r="E11" s="1627">
        <f t="shared" ca="1" si="0"/>
        <v>0</v>
      </c>
      <c r="F11" s="1615" t="s">
        <v>2237</v>
      </c>
      <c r="G11" s="1634" t="s">
        <v>2259</v>
      </c>
      <c r="H11" s="1616">
        <f>IFERROR(VLOOKUP(Financeiros[[#This Row],[Tipo]],RefTabTipo[],2,FALSE),0)</f>
        <v>22</v>
      </c>
      <c r="I11" s="1640">
        <f>IFERROR(VLOOKUP(Financeiros[[#This Row],[Tipo]],RefTabTipo[],3,FALSE),0)</f>
        <v>60</v>
      </c>
      <c r="J11" s="1617">
        <f>IFERROR(VLOOKUP(Financeiros[[#This Row],[Tipo]],RefTabTipo[],4,FALSE),0)</f>
        <v>999</v>
      </c>
      <c r="K11" s="1646">
        <f>IFERROR(VLOOKUP(Financeiros[[#This Row],[Grupo Tarifário]],RefTabGrupoTarifa[],2,FALSE),0)</f>
        <v>2</v>
      </c>
      <c r="L11" s="1616">
        <f>IFERROR(VLOOKUP(Financeiros[[#This Row],[Grupo Tarifário]],RefTabGrupoTarifa[],3,FALSE),0)</f>
        <v>9</v>
      </c>
      <c r="M11" s="1646">
        <f>IFERROR(VLOOKUP(Financeiros[[#This Row],[Grupo Tarifário]],RefTabGrupoTarifa[],4,FALSE),0)</f>
        <v>9</v>
      </c>
      <c r="O11" s="1589" t="s">
        <v>2232</v>
      </c>
      <c r="P11" s="1590">
        <v>22</v>
      </c>
      <c r="Q11" s="1590">
        <v>60</v>
      </c>
      <c r="R11" s="1591">
        <v>167</v>
      </c>
      <c r="T11" s="847" t="s">
        <v>2243</v>
      </c>
      <c r="U11" s="1461">
        <v>99</v>
      </c>
      <c r="V11" s="1461">
        <v>999</v>
      </c>
      <c r="W11" s="1461">
        <v>3</v>
      </c>
    </row>
    <row r="12" spans="3:23" ht="16.5">
      <c r="C12" s="1651" t="s">
        <v>2290</v>
      </c>
      <c r="D12" s="1652">
        <f ca="1">IFERROR(ABS(Indexador!$D$49)*'Tributos suprimento'!$D$41*H4,0)</f>
        <v>51219.40493216594</v>
      </c>
      <c r="E12" s="1627">
        <f t="shared" ca="1" si="0"/>
        <v>9.4054422085706015E-4</v>
      </c>
      <c r="F12" s="1615" t="s">
        <v>2237</v>
      </c>
      <c r="G12" s="1634" t="s">
        <v>2262</v>
      </c>
      <c r="H12" s="1616">
        <f>IFERROR(VLOOKUP(Financeiros[[#This Row],[Tipo]],RefTabTipo[],2,FALSE),0)</f>
        <v>22</v>
      </c>
      <c r="I12" s="1640">
        <f>IFERROR(VLOOKUP(Financeiros[[#This Row],[Tipo]],RefTabTipo[],3,FALSE),0)</f>
        <v>60</v>
      </c>
      <c r="J12" s="1617">
        <f>IFERROR(VLOOKUP(Financeiros[[#This Row],[Tipo]],RefTabTipo[],4,FALSE),0)</f>
        <v>999</v>
      </c>
      <c r="K12" s="1646">
        <f>IFERROR(VLOOKUP(Financeiros[[#This Row],[Grupo Tarifário]],RefTabGrupoTarifa[],2,FALSE),0)</f>
        <v>2</v>
      </c>
      <c r="L12" s="1616">
        <f>IFERROR(VLOOKUP(Financeiros[[#This Row],[Grupo Tarifário]],RefTabGrupoTarifa[],3,FALSE),0)</f>
        <v>8</v>
      </c>
      <c r="M12" s="1646">
        <f>IFERROR(VLOOKUP(Financeiros[[#This Row],[Grupo Tarifário]],RefTabGrupoTarifa[],4,FALSE),0)</f>
        <v>9</v>
      </c>
      <c r="O12" s="1589" t="s">
        <v>2233</v>
      </c>
      <c r="P12" s="1590">
        <v>22</v>
      </c>
      <c r="Q12" s="1590">
        <v>60</v>
      </c>
      <c r="R12" s="1591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>
      <c r="C13" s="1651" t="s">
        <v>2291</v>
      </c>
      <c r="D13" s="1652">
        <f ca="1">IFERROR(ABS(Indexador!$D$49)*'Tributos suprimento'!$D$41*H5,0)</f>
        <v>0</v>
      </c>
      <c r="E13" s="1627">
        <f t="shared" ca="1" si="0"/>
        <v>0</v>
      </c>
      <c r="F13" s="1615" t="s">
        <v>2237</v>
      </c>
      <c r="G13" s="1634" t="s">
        <v>2260</v>
      </c>
      <c r="H13" s="1616">
        <f>IFERROR(VLOOKUP(Financeiros[[#This Row],[Tipo]],RefTabTipo[],2,FALSE),0)</f>
        <v>22</v>
      </c>
      <c r="I13" s="1640">
        <f>IFERROR(VLOOKUP(Financeiros[[#This Row],[Tipo]],RefTabTipo[],3,FALSE),0)</f>
        <v>60</v>
      </c>
      <c r="J13" s="1617">
        <f>IFERROR(VLOOKUP(Financeiros[[#This Row],[Tipo]],RefTabTipo[],4,FALSE),0)</f>
        <v>999</v>
      </c>
      <c r="K13" s="1646">
        <f>IFERROR(VLOOKUP(Financeiros[[#This Row],[Grupo Tarifário]],RefTabGrupoTarifa[],2,FALSE),0)</f>
        <v>2</v>
      </c>
      <c r="L13" s="1616">
        <f>IFERROR(VLOOKUP(Financeiros[[#This Row],[Grupo Tarifário]],RefTabGrupoTarifa[],3,FALSE),0)</f>
        <v>10</v>
      </c>
      <c r="M13" s="1646">
        <f>IFERROR(VLOOKUP(Financeiros[[#This Row],[Grupo Tarifário]],RefTabGrupoTarifa[],4,FALSE),0)</f>
        <v>9</v>
      </c>
      <c r="O13" s="1589" t="s">
        <v>2234</v>
      </c>
      <c r="P13" s="1590">
        <v>22</v>
      </c>
      <c r="Q13" s="1590">
        <v>60</v>
      </c>
      <c r="R13" s="1591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>
      <c r="C14" s="1651" t="s">
        <v>2292</v>
      </c>
      <c r="D14" s="1652">
        <f ca="1">IFERROR(ABS(Indexador!$D$49)*'Tributos suprimento'!$D$41*H6,0)</f>
        <v>0</v>
      </c>
      <c r="E14" s="1627">
        <f t="shared" ca="1" si="0"/>
        <v>0</v>
      </c>
      <c r="F14" s="1615" t="s">
        <v>2237</v>
      </c>
      <c r="G14" s="1634" t="s">
        <v>2261</v>
      </c>
      <c r="H14" s="1616">
        <f>IFERROR(VLOOKUP(Financeiros[[#This Row],[Tipo]],RefTabTipo[],2,FALSE),0)</f>
        <v>22</v>
      </c>
      <c r="I14" s="1640">
        <f>IFERROR(VLOOKUP(Financeiros[[#This Row],[Tipo]],RefTabTipo[],3,FALSE),0)</f>
        <v>60</v>
      </c>
      <c r="J14" s="1617">
        <f>IFERROR(VLOOKUP(Financeiros[[#This Row],[Tipo]],RefTabTipo[],4,FALSE),0)</f>
        <v>999</v>
      </c>
      <c r="K14" s="1646">
        <f>IFERROR(VLOOKUP(Financeiros[[#This Row],[Grupo Tarifário]],RefTabGrupoTarifa[],2,FALSE),0)</f>
        <v>2</v>
      </c>
      <c r="L14" s="1616">
        <f>IFERROR(VLOOKUP(Financeiros[[#This Row],[Grupo Tarifário]],RefTabGrupoTarifa[],3,FALSE),0)</f>
        <v>24</v>
      </c>
      <c r="M14" s="1646">
        <f>IFERROR(VLOOKUP(Financeiros[[#This Row],[Grupo Tarifário]],RefTabGrupoTarifa[],4,FALSE),0)</f>
        <v>9</v>
      </c>
      <c r="O14" s="1589" t="s">
        <v>2235</v>
      </c>
      <c r="P14" s="1590">
        <v>22</v>
      </c>
      <c r="Q14" s="1590">
        <v>60</v>
      </c>
      <c r="R14" s="1591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22" t="str">
        <f>"(Neutralidade) "&amp;Encargos!L31</f>
        <v>(Neutralidade) TFSEE</v>
      </c>
      <c r="D15" s="1618">
        <f ca="1">Encargos!$M$31</f>
        <v>4204.1088071347203</v>
      </c>
      <c r="E15" s="1625">
        <f t="shared" ca="1" si="0"/>
        <v>7.7200237832548732E-5</v>
      </c>
      <c r="F15" s="1619" t="s">
        <v>107</v>
      </c>
      <c r="G15" s="1632" t="s">
        <v>2256</v>
      </c>
      <c r="H15" s="1620">
        <f>IFERROR(VLOOKUP(Financeiros[[#This Row],[Tipo]],RefTabTipo[],2,FALSE),0)</f>
        <v>20</v>
      </c>
      <c r="I15" s="1638">
        <f>IFERROR(VLOOKUP(Financeiros[[#This Row],[Tipo]],RefTabTipo[],3,FALSE),0)</f>
        <v>60</v>
      </c>
      <c r="J15" s="1621">
        <f>IFERROR(VLOOKUP(Financeiros[[#This Row],[Tipo]],RefTabTipo[],4,FALSE),0)</f>
        <v>999</v>
      </c>
      <c r="K15" s="1645">
        <f>IFERROR(VLOOKUP(Financeiros[[#This Row],[Grupo Tarifário]],RefTabGrupoTarifa[],2,FALSE),0)</f>
        <v>3</v>
      </c>
      <c r="L15" s="1620">
        <f>IFERROR(VLOOKUP(Financeiros[[#This Row],[Grupo Tarifário]],RefTabGrupoTarifa[],3,FALSE),0)</f>
        <v>14</v>
      </c>
      <c r="M15" s="1645">
        <f>IFERROR(VLOOKUP(Financeiros[[#This Row],[Grupo Tarifário]],RefTabGrupoTarifa[],4,FALSE),0)</f>
        <v>9</v>
      </c>
      <c r="O15" s="1589" t="s">
        <v>2236</v>
      </c>
      <c r="P15" s="1590">
        <v>22</v>
      </c>
      <c r="Q15" s="1590">
        <v>60</v>
      </c>
      <c r="R15" s="1591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22" t="str">
        <f>"(Neutralidade) "&amp;Encargos!L32</f>
        <v>(Neutralidade) CDE</v>
      </c>
      <c r="D16" s="1618">
        <f ca="1">IFERROR(Encargos!$M$32,0)</f>
        <v>181053.9608331761</v>
      </c>
      <c r="E16" s="1625">
        <f t="shared" ca="1" si="0"/>
        <v>3.3247019708731937E-3</v>
      </c>
      <c r="F16" s="1619" t="s">
        <v>107</v>
      </c>
      <c r="G16" s="1632" t="s">
        <v>2247</v>
      </c>
      <c r="H16" s="1620">
        <f>IFERROR(VLOOKUP(Financeiros[[#This Row],[Tipo]],RefTabTipo[],2,FALSE),0)</f>
        <v>20</v>
      </c>
      <c r="I16" s="1638">
        <f>IFERROR(VLOOKUP(Financeiros[[#This Row],[Tipo]],RefTabTipo[],3,FALSE),0)</f>
        <v>60</v>
      </c>
      <c r="J16" s="1621">
        <f>IFERROR(VLOOKUP(Financeiros[[#This Row],[Tipo]],RefTabTipo[],4,FALSE),0)</f>
        <v>999</v>
      </c>
      <c r="K16" s="1645">
        <f>IFERROR(VLOOKUP(Financeiros[[#This Row],[Grupo Tarifário]],RefTabGrupoTarifa[],2,FALSE),0)</f>
        <v>3</v>
      </c>
      <c r="L16" s="1620">
        <f>IFERROR(VLOOKUP(Financeiros[[#This Row],[Grupo Tarifário]],RefTabGrupoTarifa[],3,FALSE),0)</f>
        <v>15</v>
      </c>
      <c r="M16" s="1645">
        <f>IFERROR(VLOOKUP(Financeiros[[#This Row],[Grupo Tarifário]],RefTabGrupoTarifa[],4,FALSE),0)</f>
        <v>9</v>
      </c>
      <c r="O16" s="1589" t="s">
        <v>2237</v>
      </c>
      <c r="P16" s="1590">
        <v>22</v>
      </c>
      <c r="Q16" s="1590">
        <v>60</v>
      </c>
      <c r="R16" s="1591">
        <v>999</v>
      </c>
      <c r="T16" s="847" t="s">
        <v>2248</v>
      </c>
      <c r="U16" s="1461">
        <v>3</v>
      </c>
      <c r="V16" s="1461">
        <v>25</v>
      </c>
      <c r="W16" s="1461">
        <v>9</v>
      </c>
    </row>
    <row r="17" spans="3:23" ht="16.5">
      <c r="C17" s="1622" t="str">
        <f>"(Neutralidade) "&amp;Encargos!L33</f>
        <v>(Neutralidade) CFURH</v>
      </c>
      <c r="D17" s="1618">
        <f>Encargos!$M$33</f>
        <v>0</v>
      </c>
      <c r="E17" s="1625">
        <f t="shared" ca="1" si="0"/>
        <v>0</v>
      </c>
      <c r="F17" s="1619" t="s">
        <v>107</v>
      </c>
      <c r="G17" s="1632" t="s">
        <v>2251</v>
      </c>
      <c r="H17" s="1620">
        <f>IFERROR(VLOOKUP(Financeiros[[#This Row],[Tipo]],RefTabTipo[],2,FALSE),0)</f>
        <v>20</v>
      </c>
      <c r="I17" s="1638">
        <f>IFERROR(VLOOKUP(Financeiros[[#This Row],[Tipo]],RefTabTipo[],3,FALSE),0)</f>
        <v>60</v>
      </c>
      <c r="J17" s="1621">
        <f>IFERROR(VLOOKUP(Financeiros[[#This Row],[Tipo]],RefTabTipo[],4,FALSE),0)</f>
        <v>999</v>
      </c>
      <c r="K17" s="1645">
        <f>IFERROR(VLOOKUP(Financeiros[[#This Row],[Grupo Tarifário]],RefTabGrupoTarifa[],2,FALSE),0)</f>
        <v>3</v>
      </c>
      <c r="L17" s="1620">
        <f>IFERROR(VLOOKUP(Financeiros[[#This Row],[Grupo Tarifário]],RefTabGrupoTarifa[],3,FALSE),0)</f>
        <v>16</v>
      </c>
      <c r="M17" s="1645">
        <f>IFERROR(VLOOKUP(Financeiros[[#This Row],[Grupo Tarifário]],RefTabGrupoTarifa[],4,FALSE),0)</f>
        <v>9</v>
      </c>
      <c r="O17" s="1589" t="s">
        <v>107</v>
      </c>
      <c r="P17" s="1590">
        <v>20</v>
      </c>
      <c r="Q17" s="1590">
        <v>60</v>
      </c>
      <c r="R17" s="1591">
        <v>999</v>
      </c>
      <c r="T17" s="847" t="s">
        <v>2249</v>
      </c>
      <c r="U17" s="1461">
        <v>3</v>
      </c>
      <c r="V17" s="1461">
        <v>12</v>
      </c>
      <c r="W17" s="1461">
        <v>9</v>
      </c>
    </row>
    <row r="18" spans="3:23" ht="16.5">
      <c r="C18" s="1622" t="str">
        <f>"(Neutralidade) "&amp;Encargos!L34</f>
        <v>(Neutralidade) ESS/ERR</v>
      </c>
      <c r="D18" s="1618">
        <f ca="1">Encargos!$M$34</f>
        <v>0</v>
      </c>
      <c r="E18" s="1625">
        <f t="shared" ca="1" si="0"/>
        <v>0</v>
      </c>
      <c r="F18" s="1619" t="s">
        <v>107</v>
      </c>
      <c r="G18" s="1632" t="s">
        <v>2244</v>
      </c>
      <c r="H18" s="1620">
        <f>IFERROR(VLOOKUP(Financeiros[[#This Row],[Tipo]],RefTabTipo[],2,FALSE),0)</f>
        <v>20</v>
      </c>
      <c r="I18" s="1638">
        <f>IFERROR(VLOOKUP(Financeiros[[#This Row],[Tipo]],RefTabTipo[],3,FALSE),0)</f>
        <v>60</v>
      </c>
      <c r="J18" s="1621">
        <f>IFERROR(VLOOKUP(Financeiros[[#This Row],[Tipo]],RefTabTipo[],4,FALSE),0)</f>
        <v>999</v>
      </c>
      <c r="K18" s="1645">
        <f>IFERROR(VLOOKUP(Financeiros[[#This Row],[Grupo Tarifário]],RefTabGrupoTarifa[],2,FALSE),0)</f>
        <v>3</v>
      </c>
      <c r="L18" s="1620">
        <f>IFERROR(VLOOKUP(Financeiros[[#This Row],[Grupo Tarifário]],RefTabGrupoTarifa[],3,FALSE),0)</f>
        <v>17</v>
      </c>
      <c r="M18" s="1645">
        <f>IFERROR(VLOOKUP(Financeiros[[#This Row],[Grupo Tarifário]],RefTabGrupoTarifa[],4,FALSE),0)</f>
        <v>9</v>
      </c>
      <c r="O18" s="1589" t="s">
        <v>2238</v>
      </c>
      <c r="P18" s="1590">
        <v>20</v>
      </c>
      <c r="Q18" s="1590">
        <v>60</v>
      </c>
      <c r="R18" s="1591">
        <v>179</v>
      </c>
      <c r="T18" s="847" t="s">
        <v>2250</v>
      </c>
      <c r="U18" s="1461">
        <v>3</v>
      </c>
      <c r="V18" s="1461">
        <v>28</v>
      </c>
      <c r="W18" s="1461">
        <v>9</v>
      </c>
    </row>
    <row r="19" spans="3:23" ht="16.5">
      <c r="C19" s="1622" t="str">
        <f>"(Neutralidade) "&amp;Encargos!L35</f>
        <v>(Neutralidade) PROINFA</v>
      </c>
      <c r="D19" s="1618">
        <f ca="1">Encargos!$M$35</f>
        <v>27576.297970177777</v>
      </c>
      <c r="E19" s="1625">
        <f t="shared" ca="1" si="0"/>
        <v>5.0638479152253179E-4</v>
      </c>
      <c r="F19" s="1619" t="s">
        <v>107</v>
      </c>
      <c r="G19" s="1632" t="s">
        <v>2254</v>
      </c>
      <c r="H19" s="1620">
        <f>IFERROR(VLOOKUP(Financeiros[[#This Row],[Tipo]],RefTabTipo[],2,FALSE),0)</f>
        <v>20</v>
      </c>
      <c r="I19" s="1638">
        <f>IFERROR(VLOOKUP(Financeiros[[#This Row],[Tipo]],RefTabTipo[],3,FALSE),0)</f>
        <v>60</v>
      </c>
      <c r="J19" s="1621">
        <f>IFERROR(VLOOKUP(Financeiros[[#This Row],[Tipo]],RefTabTipo[],4,FALSE),0)</f>
        <v>999</v>
      </c>
      <c r="K19" s="1645">
        <f>IFERROR(VLOOKUP(Financeiros[[#This Row],[Grupo Tarifário]],RefTabGrupoTarifa[],2,FALSE),0)</f>
        <v>3</v>
      </c>
      <c r="L19" s="1620">
        <f>IFERROR(VLOOKUP(Financeiros[[#This Row],[Grupo Tarifário]],RefTabGrupoTarifa[],3,FALSE),0)</f>
        <v>18</v>
      </c>
      <c r="M19" s="1645">
        <f>IFERROR(VLOOKUP(Financeiros[[#This Row],[Grupo Tarifário]],RefTabGrupoTarifa[],4,FALSE),0)</f>
        <v>9</v>
      </c>
      <c r="O19" s="68" t="s">
        <v>2278</v>
      </c>
      <c r="P19" s="1662">
        <v>22</v>
      </c>
      <c r="Q19" s="1662">
        <v>60</v>
      </c>
      <c r="R19" s="1662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>
      <c r="C20" s="1622" t="str">
        <f>"(Neutralidade) "&amp;Encargos!L36</f>
        <v>(Neutralidade) CDE COVID</v>
      </c>
      <c r="D20" s="1618">
        <f ca="1">Encargos!$M$36</f>
        <v>0</v>
      </c>
      <c r="E20" s="1625">
        <f t="shared" ca="1" si="0"/>
        <v>0</v>
      </c>
      <c r="F20" s="1619" t="s">
        <v>107</v>
      </c>
      <c r="G20" s="1632" t="s">
        <v>2249</v>
      </c>
      <c r="H20" s="1620">
        <f>IFERROR(VLOOKUP(Financeiros[[#This Row],[Tipo]],RefTabTipo[],2,FALSE),0)</f>
        <v>20</v>
      </c>
      <c r="I20" s="1638">
        <f>IFERROR(VLOOKUP(Financeiros[[#This Row],[Tipo]],RefTabTipo[],3,FALSE),0)</f>
        <v>60</v>
      </c>
      <c r="J20" s="1621">
        <f>IFERROR(VLOOKUP(Financeiros[[#This Row],[Tipo]],RefTabTipo[],4,FALSE),0)</f>
        <v>999</v>
      </c>
      <c r="K20" s="1645">
        <f>IFERROR(VLOOKUP(Financeiros[[#This Row],[Grupo Tarifário]],RefTabGrupoTarifa[],2,FALSE),0)</f>
        <v>3</v>
      </c>
      <c r="L20" s="1620">
        <f>IFERROR(VLOOKUP(Financeiros[[#This Row],[Grupo Tarifário]],RefTabGrupoTarifa[],3,FALSE),0)</f>
        <v>12</v>
      </c>
      <c r="M20" s="1645">
        <f>IFERROR(VLOOKUP(Financeiros[[#This Row],[Grupo Tarifário]],RefTabGrupoTarifa[],4,FALSE),0)</f>
        <v>9</v>
      </c>
      <c r="O20" s="1663" t="s">
        <v>2239</v>
      </c>
      <c r="P20" s="1664">
        <v>22</v>
      </c>
      <c r="Q20" s="1664">
        <v>60</v>
      </c>
      <c r="R20" s="1664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>
      <c r="C21" s="1622" t="str">
        <f>"(Neutralidade) "&amp;Encargos!L37</f>
        <v>(Neutralidade) P&amp;D</v>
      </c>
      <c r="D21" s="1618">
        <f ca="1">Encargos!$M$37</f>
        <v>0</v>
      </c>
      <c r="E21" s="1625">
        <f t="shared" ca="1" si="0"/>
        <v>0</v>
      </c>
      <c r="F21" s="1619" t="s">
        <v>107</v>
      </c>
      <c r="G21" s="1632" t="s">
        <v>2253</v>
      </c>
      <c r="H21" s="1620">
        <f>IFERROR(VLOOKUP(Financeiros[[#This Row],[Tipo]],RefTabTipo[],2,FALSE),0)</f>
        <v>20</v>
      </c>
      <c r="I21" s="1638">
        <f>IFERROR(VLOOKUP(Financeiros[[#This Row],[Tipo]],RefTabTipo[],3,FALSE),0)</f>
        <v>60</v>
      </c>
      <c r="J21" s="1621">
        <f>IFERROR(VLOOKUP(Financeiros[[#This Row],[Tipo]],RefTabTipo[],4,FALSE),0)</f>
        <v>999</v>
      </c>
      <c r="K21" s="1645">
        <f>IFERROR(VLOOKUP(Financeiros[[#This Row],[Grupo Tarifário]],RefTabGrupoTarifa[],2,FALSE),0)</f>
        <v>3</v>
      </c>
      <c r="L21" s="1620">
        <f>IFERROR(VLOOKUP(Financeiros[[#This Row],[Grupo Tarifário]],RefTabGrupoTarifa[],3,FALSE),0)</f>
        <v>19</v>
      </c>
      <c r="M21" s="1645">
        <f>IFERROR(VLOOKUP(Financeiros[[#This Row],[Grupo Tarifário]],RefTabGrupoTarifa[],4,FALSE),0)</f>
        <v>9</v>
      </c>
      <c r="O21" s="1663" t="s">
        <v>1307</v>
      </c>
      <c r="P21" s="1664">
        <v>22</v>
      </c>
      <c r="Q21" s="1664">
        <v>62</v>
      </c>
      <c r="R21" s="1664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>
      <c r="C22" s="1622" t="str">
        <f>"(Neutralidade)" &amp; Encargos!L41</f>
        <v>(Neutralidade)Financeiro Covid</v>
      </c>
      <c r="D22" s="1618">
        <f ca="1">Encargos!$M$41</f>
        <v>0</v>
      </c>
      <c r="E22" s="1625">
        <f t="shared" ca="1" si="0"/>
        <v>0</v>
      </c>
      <c r="F22" s="1619" t="s">
        <v>107</v>
      </c>
      <c r="G22" s="1632" t="s">
        <v>104</v>
      </c>
      <c r="H22" s="1620">
        <f>IFERROR(VLOOKUP(Financeiros[[#This Row],[Tipo]],RefTabTipo[],2,FALSE),0)</f>
        <v>20</v>
      </c>
      <c r="I22" s="1638">
        <f>IFERROR(VLOOKUP(Financeiros[[#This Row],[Tipo]],RefTabTipo[],3,FALSE),0)</f>
        <v>60</v>
      </c>
      <c r="J22" s="1621">
        <f>IFERROR(VLOOKUP(Financeiros[[#This Row],[Tipo]],RefTabTipo[],4,FALSE),0)</f>
        <v>999</v>
      </c>
      <c r="K22" s="1645">
        <f>IFERROR(VLOOKUP(Financeiros[[#This Row],[Grupo Tarifário]],RefTabGrupoTarifa[],2,FALSE),0)</f>
        <v>4</v>
      </c>
      <c r="L22" s="1620">
        <f>IFERROR(VLOOKUP(Financeiros[[#This Row],[Grupo Tarifário]],RefTabGrupoTarifa[],3,FALSE),0)</f>
        <v>999</v>
      </c>
      <c r="M22" s="1645">
        <f>IFERROR(VLOOKUP(Financeiros[[#This Row],[Grupo Tarifário]],RefTabGrupoTarifa[],4,FALSE),0)</f>
        <v>9</v>
      </c>
      <c r="O22" s="1589" t="s">
        <v>2240</v>
      </c>
      <c r="P22" s="1592">
        <v>22</v>
      </c>
      <c r="Q22" s="1592">
        <v>60</v>
      </c>
      <c r="R22" s="1592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>
      <c r="C23" s="1622" t="str">
        <f>"(Neutralidade)" &amp; Encargos!L42</f>
        <v>(Neutralidade)Crédito Pis Cofins</v>
      </c>
      <c r="D23" s="1618">
        <f ca="1">Encargos!$M$42</f>
        <v>0</v>
      </c>
      <c r="E23" s="1625">
        <f t="shared" ca="1" si="0"/>
        <v>0</v>
      </c>
      <c r="F23" s="1619" t="s">
        <v>2238</v>
      </c>
      <c r="G23" s="1632" t="s">
        <v>2243</v>
      </c>
      <c r="H23" s="1620">
        <f>IFERROR(VLOOKUP(Financeiros[[#This Row],[Tipo]],RefTabTipo[],2,FALSE),0)</f>
        <v>20</v>
      </c>
      <c r="I23" s="1638">
        <f>IFERROR(VLOOKUP(Financeiros[[#This Row],[Tipo]],RefTabTipo[],3,FALSE),0)</f>
        <v>60</v>
      </c>
      <c r="J23" s="1621">
        <f>IFERROR(VLOOKUP(Financeiros[[#This Row],[Tipo]],RefTabTipo[],4,FALSE),0)</f>
        <v>179</v>
      </c>
      <c r="K23" s="1645">
        <f>IFERROR(VLOOKUP(Financeiros[[#This Row],[Grupo Tarifário]],RefTabGrupoTarifa[],2,FALSE),0)</f>
        <v>99</v>
      </c>
      <c r="L23" s="1620">
        <f>IFERROR(VLOOKUP(Financeiros[[#This Row],[Grupo Tarifário]],RefTabGrupoTarifa[],3,FALSE),0)</f>
        <v>999</v>
      </c>
      <c r="M23" s="1645">
        <f>IFERROR(VLOOKUP(Financeiros[[#This Row],[Grupo Tarifário]],RefTabGrupoTarifa[],4,FALSE),0)</f>
        <v>3</v>
      </c>
      <c r="O23" s="68" t="s">
        <v>2418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>
      <c r="C24" s="1653" t="s">
        <v>1291</v>
      </c>
      <c r="D24" s="1654">
        <f>IFERROR((Indexador!J49+Indexador!P49)*Resultado!D25/(Resultado!D25+Resultado!D26),0)</f>
        <v>0</v>
      </c>
      <c r="E24" s="1655">
        <f t="shared" ca="1" si="0"/>
        <v>0</v>
      </c>
      <c r="F24" s="1656" t="s">
        <v>2237</v>
      </c>
      <c r="G24" s="1657" t="s">
        <v>2272</v>
      </c>
      <c r="H24" s="1658">
        <f>IFERROR(VLOOKUP(Financeiros[[#This Row],[Tipo]],RefTabTipo[],2,FALSE),0)</f>
        <v>22</v>
      </c>
      <c r="I24" s="1659">
        <f>IFERROR(VLOOKUP(Financeiros[[#This Row],[Tipo]],RefTabTipo[],3,FALSE),0)</f>
        <v>60</v>
      </c>
      <c r="J24" s="1660">
        <f>IFERROR(VLOOKUP(Financeiros[[#This Row],[Tipo]],RefTabTipo[],4,FALSE),0)</f>
        <v>999</v>
      </c>
      <c r="K24" s="1661">
        <f>IFERROR(VLOOKUP(Financeiros[[#This Row],[Grupo Tarifário]],RefTabGrupoTarifa[],2,FALSE),0)</f>
        <v>1</v>
      </c>
      <c r="L24" s="1658">
        <f>IFERROR(VLOOKUP(Financeiros[[#This Row],[Grupo Tarifário]],RefTabGrupoTarifa[],3,FALSE),0)</f>
        <v>1</v>
      </c>
      <c r="M24" s="1661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>
      <c r="C25" s="1653" t="s">
        <v>1292</v>
      </c>
      <c r="D25" s="1654">
        <f>IFERROR((Indexador!J49+Indexador!P49)*Resultado!D26/(Resultado!D25+Resultado!D26),0)</f>
        <v>0</v>
      </c>
      <c r="E25" s="1655">
        <f t="shared" ca="1" si="0"/>
        <v>0</v>
      </c>
      <c r="F25" s="1656" t="s">
        <v>2237</v>
      </c>
      <c r="G25" s="1657" t="s">
        <v>2271</v>
      </c>
      <c r="H25" s="1658">
        <f>IFERROR(VLOOKUP(Financeiros[[#This Row],[Tipo]],RefTabTipo[],2,FALSE),0)</f>
        <v>22</v>
      </c>
      <c r="I25" s="1659">
        <f>IFERROR(VLOOKUP(Financeiros[[#This Row],[Tipo]],RefTabTipo[],3,FALSE),0)</f>
        <v>60</v>
      </c>
      <c r="J25" s="1660">
        <f>IFERROR(VLOOKUP(Financeiros[[#This Row],[Tipo]],RefTabTipo[],4,FALSE),0)</f>
        <v>999</v>
      </c>
      <c r="K25" s="1661">
        <f>IFERROR(VLOOKUP(Financeiros[[#This Row],[Grupo Tarifário]],RefTabGrupoTarifa[],2,FALSE),0)</f>
        <v>1</v>
      </c>
      <c r="L25" s="1658">
        <f>IFERROR(VLOOKUP(Financeiros[[#This Row],[Grupo Tarifário]],RefTabGrupoTarifa[],3,FALSE),0)</f>
        <v>2</v>
      </c>
      <c r="M25" s="1661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>
      <c r="C26" s="1665" t="s">
        <v>1293</v>
      </c>
      <c r="D26" s="1666">
        <v>0</v>
      </c>
      <c r="E26" s="1629">
        <f t="shared" ca="1" si="0"/>
        <v>0</v>
      </c>
      <c r="F26" s="1609" t="s">
        <v>2232</v>
      </c>
      <c r="G26" s="1636" t="s">
        <v>104</v>
      </c>
      <c r="H26" s="1610">
        <f>IFERROR(VLOOKUP(Financeiros[[#This Row],[Tipo]],RefTabTipo[],2,FALSE),0)</f>
        <v>22</v>
      </c>
      <c r="I26" s="1642">
        <f>IFERROR(VLOOKUP(Financeiros[[#This Row],[Tipo]],RefTabTipo[],3,FALSE),0)</f>
        <v>60</v>
      </c>
      <c r="J26" s="1611">
        <f>IFERROR(VLOOKUP(Financeiros[[#This Row],[Tipo]],RefTabTipo[],4,FALSE),0)</f>
        <v>167</v>
      </c>
      <c r="K26" s="1648">
        <f>IFERROR(VLOOKUP(Financeiros[[#This Row],[Grupo Tarifário]],RefTabGrupoTarifa[],2,FALSE),0)</f>
        <v>4</v>
      </c>
      <c r="L26" s="1610">
        <f>IFERROR(VLOOKUP(Financeiros[[#This Row],[Grupo Tarifário]],RefTabGrupoTarifa[],3,FALSE),0)</f>
        <v>999</v>
      </c>
      <c r="M26" s="1648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>
      <c r="C27" s="1665" t="s">
        <v>2069</v>
      </c>
      <c r="D27" s="1666"/>
      <c r="E27" s="1629">
        <f t="shared" ca="1" si="0"/>
        <v>0</v>
      </c>
      <c r="F27" s="1609" t="s">
        <v>2237</v>
      </c>
      <c r="G27" s="1636" t="s">
        <v>2250</v>
      </c>
      <c r="H27" s="1610">
        <f>IFERROR(VLOOKUP(Financeiros[[#This Row],[Tipo]],RefTabTipo[],2,FALSE),0)</f>
        <v>22</v>
      </c>
      <c r="I27" s="1642">
        <f>IFERROR(VLOOKUP(Financeiros[[#This Row],[Tipo]],RefTabTipo[],3,FALSE),0)</f>
        <v>60</v>
      </c>
      <c r="J27" s="1611">
        <f>IFERROR(VLOOKUP(Financeiros[[#This Row],[Tipo]],RefTabTipo[],4,FALSE),0)</f>
        <v>999</v>
      </c>
      <c r="K27" s="1648">
        <f>IFERROR(VLOOKUP(Financeiros[[#This Row],[Grupo Tarifário]],RefTabGrupoTarifa[],2,FALSE),0)</f>
        <v>3</v>
      </c>
      <c r="L27" s="1610">
        <f>IFERROR(VLOOKUP(Financeiros[[#This Row],[Grupo Tarifário]],RefTabGrupoTarifa[],3,FALSE),0)</f>
        <v>28</v>
      </c>
      <c r="M27" s="1648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>
      <c r="C28" s="1623" t="s">
        <v>2047</v>
      </c>
      <c r="D28" s="1451"/>
      <c r="E28" s="1626">
        <f t="shared" ca="1" si="0"/>
        <v>0</v>
      </c>
      <c r="F28" s="1603" t="s">
        <v>2237</v>
      </c>
      <c r="G28" s="1633" t="s">
        <v>2258</v>
      </c>
      <c r="H28" s="1608">
        <f>IFERROR(VLOOKUP(Financeiros[[#This Row],[Tipo]],RefTabTipo[],2,FALSE),0)</f>
        <v>22</v>
      </c>
      <c r="I28" s="1639">
        <f>IFERROR(VLOOKUP(Financeiros[[#This Row],[Tipo]],RefTabTipo[],3,FALSE),0)</f>
        <v>60</v>
      </c>
      <c r="J28" s="1608">
        <f>IFERROR(VLOOKUP(Financeiros[[#This Row],[Tipo]],RefTabTipo[],4,FALSE),0)</f>
        <v>999</v>
      </c>
      <c r="K28" s="1639">
        <f>IFERROR(VLOOKUP(Financeiros[[#This Row],[Grupo Tarifário]],RefTabGrupoTarifa[],2,FALSE),0)</f>
        <v>2</v>
      </c>
      <c r="L28" s="1608">
        <f>IFERROR(VLOOKUP(Financeiros[[#This Row],[Grupo Tarifário]],RefTabGrupoTarifa[],3,FALSE),0)</f>
        <v>30</v>
      </c>
      <c r="M28" s="1639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24" t="s">
        <v>1294</v>
      </c>
      <c r="D29" s="1451">
        <f>(Indexador!H49)</f>
        <v>-22050.655122158136</v>
      </c>
      <c r="E29" s="1626">
        <f t="shared" ca="1" si="0"/>
        <v>-4.0491716506127202E-4</v>
      </c>
      <c r="F29" s="1671" t="s">
        <v>2239</v>
      </c>
      <c r="G29" s="1672" t="s">
        <v>2269</v>
      </c>
      <c r="H29" s="1673">
        <f>IFERROR(VLOOKUP(Financeiros[[#This Row],[Tipo]],RefTabTipo[],2,FALSE),0)</f>
        <v>22</v>
      </c>
      <c r="I29" s="1639">
        <f>IFERROR(VLOOKUP(Financeiros[[#This Row],[Tipo]],RefTabTipo[],3,FALSE),0)</f>
        <v>60</v>
      </c>
      <c r="J29" s="1608">
        <f>IFERROR(VLOOKUP(Financeiros[[#This Row],[Tipo]],RefTabTipo[],4,FALSE),0)</f>
        <v>178</v>
      </c>
      <c r="K29" s="1674">
        <f>IFERROR(VLOOKUP(Financeiros[[#This Row],[Grupo Tarifário]],RefTabGrupoTarifa[],2,FALSE),0)</f>
        <v>1</v>
      </c>
      <c r="L29" s="1673">
        <f>IFERROR(VLOOKUP(Financeiros[[#This Row],[Grupo Tarifário]],RefTabGrupoTarifa[],3,FALSE),0)</f>
        <v>7</v>
      </c>
      <c r="M29" s="1674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24" t="s">
        <v>1295</v>
      </c>
      <c r="D30" s="1451">
        <f ca="1">-LnkTXTISubvencaoPB</f>
        <v>-11769398.069312805</v>
      </c>
      <c r="E30" s="1626">
        <f t="shared" ca="1" si="0"/>
        <v>-0.21612198251265963</v>
      </c>
      <c r="F30" s="1671" t="s">
        <v>2418</v>
      </c>
      <c r="G30" s="1672" t="s">
        <v>104</v>
      </c>
      <c r="H30" s="1673">
        <f>IFERROR(VLOOKUP(Financeiros[[#This Row],[Tipo]],RefTabTipo[],2,FALSE),0)</f>
        <v>22</v>
      </c>
      <c r="I30" s="1639">
        <f>IFERROR(VLOOKUP(Financeiros[[#This Row],[Tipo]],RefTabTipo[],3,FALSE),0)</f>
        <v>60</v>
      </c>
      <c r="J30" s="1608">
        <f>IFERROR(VLOOKUP(Financeiros[[#This Row],[Tipo]],RefTabTipo[],4,FALSE),0)</f>
        <v>242</v>
      </c>
      <c r="K30" s="1674">
        <f>IFERROR(VLOOKUP(Financeiros[[#This Row],[Grupo Tarifário]],RefTabGrupoTarifa[],2,FALSE),0)</f>
        <v>4</v>
      </c>
      <c r="L30" s="1673">
        <f>IFERROR(VLOOKUP(Financeiros[[#This Row],[Grupo Tarifário]],RefTabGrupoTarifa[],3,FALSE),0)</f>
        <v>999</v>
      </c>
      <c r="M30" s="1674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>
      <c r="C31" s="1623" t="s">
        <v>1296</v>
      </c>
      <c r="D31" s="1451">
        <f>IFERROR(-ABS(Indexador!$L$49),0)</f>
        <v>-662461.38184623118</v>
      </c>
      <c r="E31" s="1626">
        <f t="shared" ca="1" si="0"/>
        <v>-1.2164807948503954E-2</v>
      </c>
      <c r="F31" s="1671" t="s">
        <v>2237</v>
      </c>
      <c r="G31" s="1672" t="s">
        <v>2258</v>
      </c>
      <c r="H31" s="1673">
        <f>IFERROR(VLOOKUP(Financeiros[[#This Row],[Tipo]],RefTabTipo[],2,FALSE),0)</f>
        <v>22</v>
      </c>
      <c r="I31" s="1639">
        <f>IFERROR(VLOOKUP(Financeiros[[#This Row],[Tipo]],RefTabTipo[],3,FALSE),0)</f>
        <v>60</v>
      </c>
      <c r="J31" s="1608">
        <f>IFERROR(VLOOKUP(Financeiros[[#This Row],[Tipo]],RefTabTipo[],4,FALSE),0)</f>
        <v>999</v>
      </c>
      <c r="K31" s="1674">
        <f>IFERROR(VLOOKUP(Financeiros[[#This Row],[Grupo Tarifário]],RefTabGrupoTarifa[],2,FALSE),0)</f>
        <v>2</v>
      </c>
      <c r="L31" s="1673">
        <f>IFERROR(VLOOKUP(Financeiros[[#This Row],[Grupo Tarifário]],RefTabGrupoTarifa[],3,FALSE),0)</f>
        <v>30</v>
      </c>
      <c r="M31" s="1674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>
      <c r="C32" s="1623" t="s">
        <v>1297</v>
      </c>
      <c r="D32" s="1451"/>
      <c r="E32" s="1626">
        <f t="shared" ca="1" si="0"/>
        <v>0</v>
      </c>
      <c r="F32" s="1671" t="s">
        <v>2234</v>
      </c>
      <c r="G32" s="1672" t="s">
        <v>104</v>
      </c>
      <c r="H32" s="1673">
        <f>IFERROR(VLOOKUP(Financeiros[[#This Row],[Tipo]],RefTabTipo[],2,FALSE),0)</f>
        <v>22</v>
      </c>
      <c r="I32" s="1639">
        <f>IFERROR(VLOOKUP(Financeiros[[#This Row],[Tipo]],RefTabTipo[],3,FALSE),0)</f>
        <v>60</v>
      </c>
      <c r="J32" s="1608">
        <f>IFERROR(VLOOKUP(Financeiros[[#This Row],[Tipo]],RefTabTipo[],4,FALSE),0)</f>
        <v>120</v>
      </c>
      <c r="K32" s="1674">
        <f>IFERROR(VLOOKUP(Financeiros[[#This Row],[Grupo Tarifário]],RefTabGrupoTarifa[],2,FALSE),0)</f>
        <v>4</v>
      </c>
      <c r="L32" s="1673">
        <f>IFERROR(VLOOKUP(Financeiros[[#This Row],[Grupo Tarifário]],RefTabGrupoTarifa[],3,FALSE),0)</f>
        <v>999</v>
      </c>
      <c r="M32" s="1674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24" t="s">
        <v>1298</v>
      </c>
      <c r="D33" s="1451">
        <f>'Tributos suprimento'!$E$18</f>
        <v>0</v>
      </c>
      <c r="E33" s="1626">
        <f t="shared" ca="1" si="0"/>
        <v>0</v>
      </c>
      <c r="F33" s="1671" t="s">
        <v>2237</v>
      </c>
      <c r="G33" s="1672" t="s">
        <v>2269</v>
      </c>
      <c r="H33" s="1673">
        <f>IFERROR(VLOOKUP(Financeiros[[#This Row],[Tipo]],RefTabTipo[],2,FALSE),0)</f>
        <v>22</v>
      </c>
      <c r="I33" s="1639">
        <f>IFERROR(VLOOKUP(Financeiros[[#This Row],[Tipo]],RefTabTipo[],3,FALSE),0)</f>
        <v>60</v>
      </c>
      <c r="J33" s="1608">
        <f>IFERROR(VLOOKUP(Financeiros[[#This Row],[Tipo]],RefTabTipo[],4,FALSE),0)</f>
        <v>999</v>
      </c>
      <c r="K33" s="1674">
        <f>IFERROR(VLOOKUP(Financeiros[[#This Row],[Grupo Tarifário]],RefTabGrupoTarifa[],2,FALSE),0)</f>
        <v>1</v>
      </c>
      <c r="L33" s="1673">
        <f>IFERROR(VLOOKUP(Financeiros[[#This Row],[Grupo Tarifário]],RefTabGrupoTarifa[],3,FALSE),0)</f>
        <v>7</v>
      </c>
      <c r="M33" s="1674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>
      <c r="C34" s="1624" t="s">
        <v>1299</v>
      </c>
      <c r="D34" s="1451">
        <f>'Tributos suprimento'!$E$19</f>
        <v>0</v>
      </c>
      <c r="E34" s="1626">
        <f t="shared" ca="1" si="0"/>
        <v>0</v>
      </c>
      <c r="F34" s="1671" t="s">
        <v>2237</v>
      </c>
      <c r="G34" s="1672" t="s">
        <v>2258</v>
      </c>
      <c r="H34" s="1673">
        <f>IFERROR(VLOOKUP(Financeiros[[#This Row],[Tipo]],RefTabTipo[],2,FALSE),0)</f>
        <v>22</v>
      </c>
      <c r="I34" s="1639">
        <f>IFERROR(VLOOKUP(Financeiros[[#This Row],[Tipo]],RefTabTipo[],3,FALSE),0)</f>
        <v>60</v>
      </c>
      <c r="J34" s="1608">
        <f>IFERROR(VLOOKUP(Financeiros[[#This Row],[Tipo]],RefTabTipo[],4,FALSE),0)</f>
        <v>999</v>
      </c>
      <c r="K34" s="1674">
        <f>IFERROR(VLOOKUP(Financeiros[[#This Row],[Grupo Tarifário]],RefTabGrupoTarifa[],2,FALSE),0)</f>
        <v>2</v>
      </c>
      <c r="L34" s="1673">
        <f>IFERROR(VLOOKUP(Financeiros[[#This Row],[Grupo Tarifário]],RefTabGrupoTarifa[],3,FALSE),0)</f>
        <v>30</v>
      </c>
      <c r="M34" s="1674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>
      <c r="C35" s="1624" t="s">
        <v>1300</v>
      </c>
      <c r="D35" s="1451"/>
      <c r="E35" s="1626">
        <f t="shared" ca="1" si="0"/>
        <v>0</v>
      </c>
      <c r="F35" s="1671" t="s">
        <v>2237</v>
      </c>
      <c r="G35" s="1672" t="s">
        <v>2253</v>
      </c>
      <c r="H35" s="1673">
        <f>IFERROR(VLOOKUP(Financeiros[[#This Row],[Tipo]],RefTabTipo[],2,FALSE),0)</f>
        <v>22</v>
      </c>
      <c r="I35" s="1639">
        <f>IFERROR(VLOOKUP(Financeiros[[#This Row],[Tipo]],RefTabTipo[],3,FALSE),0)</f>
        <v>60</v>
      </c>
      <c r="J35" s="1608">
        <f>IFERROR(VLOOKUP(Financeiros[[#This Row],[Tipo]],RefTabTipo[],4,FALSE),0)</f>
        <v>999</v>
      </c>
      <c r="K35" s="1674">
        <f>IFERROR(VLOOKUP(Financeiros[[#This Row],[Grupo Tarifário]],RefTabGrupoTarifa[],2,FALSE),0)</f>
        <v>3</v>
      </c>
      <c r="L35" s="1673">
        <f>IFERROR(VLOOKUP(Financeiros[[#This Row],[Grupo Tarifário]],RefTabGrupoTarifa[],3,FALSE),0)</f>
        <v>19</v>
      </c>
      <c r="M35" s="1674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>
      <c r="C36" s="1624" t="s">
        <v>1301</v>
      </c>
      <c r="D36" s="1451"/>
      <c r="E36" s="1626">
        <f t="shared" ca="1" si="0"/>
        <v>0</v>
      </c>
      <c r="F36" s="1671" t="s">
        <v>2237</v>
      </c>
      <c r="G36" s="1672" t="s">
        <v>104</v>
      </c>
      <c r="H36" s="1673">
        <f>IFERROR(VLOOKUP(Financeiros[[#This Row],[Tipo]],RefTabTipo[],2,FALSE),0)</f>
        <v>22</v>
      </c>
      <c r="I36" s="1639">
        <f>IFERROR(VLOOKUP(Financeiros[[#This Row],[Tipo]],RefTabTipo[],3,FALSE),0)</f>
        <v>60</v>
      </c>
      <c r="J36" s="1608">
        <f>IFERROR(VLOOKUP(Financeiros[[#This Row],[Tipo]],RefTabTipo[],4,FALSE),0)</f>
        <v>999</v>
      </c>
      <c r="K36" s="1674">
        <f>IFERROR(VLOOKUP(Financeiros[[#This Row],[Grupo Tarifário]],RefTabGrupoTarifa[],2,FALSE),0)</f>
        <v>4</v>
      </c>
      <c r="L36" s="1673">
        <f>IFERROR(VLOOKUP(Financeiros[[#This Row],[Grupo Tarifário]],RefTabGrupoTarifa[],3,FALSE),0)</f>
        <v>999</v>
      </c>
      <c r="M36" s="1674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>
      <c r="C37" s="1624" t="s">
        <v>2402</v>
      </c>
      <c r="D37" s="1451"/>
      <c r="E37" s="1756">
        <f t="shared" ca="1" si="0"/>
        <v>0</v>
      </c>
      <c r="F37" s="1757" t="s">
        <v>2237</v>
      </c>
      <c r="G37" s="1758" t="s">
        <v>104</v>
      </c>
      <c r="H37" s="1759">
        <f>IFERROR(VLOOKUP(Financeiros[[#This Row],[Tipo]],RefTabTipo[],2,FALSE),0)</f>
        <v>22</v>
      </c>
      <c r="I37" s="1760">
        <f>IFERROR(VLOOKUP(Financeiros[[#This Row],[Tipo]],RefTabTipo[],3,FALSE),0)</f>
        <v>60</v>
      </c>
      <c r="J37" s="1761">
        <f>IFERROR(VLOOKUP(Financeiros[[#This Row],[Tipo]],RefTabTipo[],4,FALSE),0)</f>
        <v>999</v>
      </c>
      <c r="K37" s="1762">
        <f>IFERROR(VLOOKUP(Financeiros[[#This Row],[Grupo Tarifário]],RefTabGrupoTarifa[],2,FALSE),0)</f>
        <v>4</v>
      </c>
      <c r="L37" s="1759">
        <f>IFERROR(VLOOKUP(Financeiros[[#This Row],[Grupo Tarifário]],RefTabGrupoTarifa[],3,FALSE),0)</f>
        <v>999</v>
      </c>
      <c r="M37" s="1762">
        <f>IFERROR(VLOOKUP(Financeiros[[#This Row],[Grupo Tarifário]],RefTabGrupoTarifa[],4,FALSE),0)</f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>
      <c r="C38" s="1624" t="s">
        <v>1302</v>
      </c>
      <c r="D38" s="1451"/>
      <c r="E38" s="1626">
        <f t="shared" ca="1" si="0"/>
        <v>0</v>
      </c>
      <c r="F38" s="1671" t="s">
        <v>2237</v>
      </c>
      <c r="G38" s="1672" t="s">
        <v>2258</v>
      </c>
      <c r="H38" s="1673">
        <f>IFERROR(VLOOKUP(Financeiros[[#This Row],[Tipo]],RefTabTipo[],2,FALSE),0)</f>
        <v>22</v>
      </c>
      <c r="I38" s="1639">
        <f>IFERROR(VLOOKUP(Financeiros[[#This Row],[Tipo]],RefTabTipo[],3,FALSE),0)</f>
        <v>60</v>
      </c>
      <c r="J38" s="1608">
        <f>IFERROR(VLOOKUP(Financeiros[[#This Row],[Tipo]],RefTabTipo[],4,FALSE),0)</f>
        <v>999</v>
      </c>
      <c r="K38" s="1674">
        <f>IFERROR(VLOOKUP(Financeiros[[#This Row],[Grupo Tarifário]],RefTabGrupoTarifa[],2,FALSE),0)</f>
        <v>2</v>
      </c>
      <c r="L38" s="1673">
        <f>IFERROR(VLOOKUP(Financeiros[[#This Row],[Grupo Tarifário]],RefTabGrupoTarifa[],3,FALSE),0)</f>
        <v>30</v>
      </c>
      <c r="M38" s="1674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>
      <c r="C39" s="1624" t="s">
        <v>1303</v>
      </c>
      <c r="D39" s="1451">
        <f>-ABS(PIS_COFINS!$R$4)</f>
        <v>0</v>
      </c>
      <c r="E39" s="1626">
        <f t="shared" ca="1" si="0"/>
        <v>0</v>
      </c>
      <c r="F39" s="1671" t="s">
        <v>2236</v>
      </c>
      <c r="G39" s="1672" t="s">
        <v>2243</v>
      </c>
      <c r="H39" s="1673">
        <f>IFERROR(VLOOKUP(Financeiros[[#This Row],[Tipo]],RefTabTipo[],2,FALSE),0)</f>
        <v>22</v>
      </c>
      <c r="I39" s="1639">
        <f>IFERROR(VLOOKUP(Financeiros[[#This Row],[Tipo]],RefTabTipo[],3,FALSE),0)</f>
        <v>60</v>
      </c>
      <c r="J39" s="1608">
        <f>IFERROR(VLOOKUP(Financeiros[[#This Row],[Tipo]],RefTabTipo[],4,FALSE),0)</f>
        <v>179</v>
      </c>
      <c r="K39" s="1674">
        <f>IFERROR(VLOOKUP(Financeiros[[#This Row],[Grupo Tarifário]],RefTabGrupoTarifa[],2,FALSE),0)</f>
        <v>99</v>
      </c>
      <c r="L39" s="1673">
        <f>IFERROR(VLOOKUP(Financeiros[[#This Row],[Grupo Tarifário]],RefTabGrupoTarifa[],3,FALSE),0)</f>
        <v>999</v>
      </c>
      <c r="M39" s="1674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>
      <c r="C40" s="1624" t="s">
        <v>1304</v>
      </c>
      <c r="D40" s="1451">
        <f>-D9</f>
        <v>-348651.64813845983</v>
      </c>
      <c r="E40" s="1626">
        <f t="shared" ca="1" si="0"/>
        <v>-6.4023057898312556E-3</v>
      </c>
      <c r="F40" s="1671" t="s">
        <v>2237</v>
      </c>
      <c r="G40" s="1672" t="s">
        <v>2269</v>
      </c>
      <c r="H40" s="1673">
        <f>IFERROR(VLOOKUP(Financeiros[[#This Row],[Tipo]],RefTabTipo[],2,FALSE),0)</f>
        <v>22</v>
      </c>
      <c r="I40" s="1639">
        <f>IFERROR(VLOOKUP(Financeiros[[#This Row],[Tipo]],RefTabTipo[],3,FALSE),0)</f>
        <v>60</v>
      </c>
      <c r="J40" s="1608">
        <f>IFERROR(VLOOKUP(Financeiros[[#This Row],[Tipo]],RefTabTipo[],4,FALSE),0)</f>
        <v>999</v>
      </c>
      <c r="K40" s="1674">
        <f>IFERROR(VLOOKUP(Financeiros[[#This Row],[Grupo Tarifário]],RefTabGrupoTarifa[],2,FALSE),0)</f>
        <v>1</v>
      </c>
      <c r="L40" s="1673">
        <f>IFERROR(VLOOKUP(Financeiros[[#This Row],[Grupo Tarifário]],RefTabGrupoTarifa[],3,FALSE),0)</f>
        <v>7</v>
      </c>
      <c r="M40" s="1674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>
      <c r="C41" s="1624" t="s">
        <v>1305</v>
      </c>
      <c r="D41" s="1451">
        <f ca="1">-SUM(D10:D14)</f>
        <v>-516653.90482881729</v>
      </c>
      <c r="E41" s="1626">
        <f t="shared" ca="1" si="0"/>
        <v>-9.487338734480464E-3</v>
      </c>
      <c r="F41" s="1671" t="s">
        <v>2237</v>
      </c>
      <c r="G41" s="1672" t="s">
        <v>2258</v>
      </c>
      <c r="H41" s="1673">
        <f>IFERROR(VLOOKUP(Financeiros[[#This Row],[Tipo]],RefTabTipo[],2,FALSE),0)</f>
        <v>22</v>
      </c>
      <c r="I41" s="1639">
        <f>IFERROR(VLOOKUP(Financeiros[[#This Row],[Tipo]],RefTabTipo[],3,FALSE),0)</f>
        <v>60</v>
      </c>
      <c r="J41" s="1608">
        <f>IFERROR(VLOOKUP(Financeiros[[#This Row],[Tipo]],RefTabTipo[],4,FALSE),0)</f>
        <v>999</v>
      </c>
      <c r="K41" s="1674">
        <f>IFERROR(VLOOKUP(Financeiros[[#This Row],[Grupo Tarifário]],RefTabGrupoTarifa[],2,FALSE),0)</f>
        <v>2</v>
      </c>
      <c r="L41" s="1673">
        <f>IFERROR(VLOOKUP(Financeiros[[#This Row],[Grupo Tarifário]],RefTabGrupoTarifa[],3,FALSE),0)</f>
        <v>30</v>
      </c>
      <c r="M41" s="1674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>
      <c r="C42" s="1624" t="s">
        <v>1306</v>
      </c>
      <c r="D42" s="1451">
        <f>'Financeiros Mitigação'!$D$12</f>
        <v>0</v>
      </c>
      <c r="E42" s="1626">
        <f t="shared" ca="1" si="0"/>
        <v>0</v>
      </c>
      <c r="F42" s="1671" t="s">
        <v>2237</v>
      </c>
      <c r="G42" s="1672" t="s">
        <v>104</v>
      </c>
      <c r="H42" s="1673">
        <f>IFERROR(VLOOKUP(Financeiros[[#This Row],[Tipo]],RefTabTipo[],2,FALSE),0)</f>
        <v>22</v>
      </c>
      <c r="I42" s="1639">
        <f>IFERROR(VLOOKUP(Financeiros[[#This Row],[Tipo]],RefTabTipo[],3,FALSE),0)</f>
        <v>60</v>
      </c>
      <c r="J42" s="1608">
        <f>IFERROR(VLOOKUP(Financeiros[[#This Row],[Tipo]],RefTabTipo[],4,FALSE),0)</f>
        <v>999</v>
      </c>
      <c r="K42" s="1674">
        <f>IFERROR(VLOOKUP(Financeiros[[#This Row],[Grupo Tarifário]],RefTabGrupoTarifa[],2,FALSE),0)</f>
        <v>4</v>
      </c>
      <c r="L42" s="1673">
        <f>IFERROR(VLOOKUP(Financeiros[[#This Row],[Grupo Tarifário]],RefTabGrupoTarifa[],3,FALSE),0)</f>
        <v>999</v>
      </c>
      <c r="M42" s="1674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>
      <c r="C43" s="1624" t="s">
        <v>2277</v>
      </c>
      <c r="D43" s="1451"/>
      <c r="E43" s="1675">
        <f t="shared" ca="1" si="0"/>
        <v>0</v>
      </c>
      <c r="F43" s="1671" t="s">
        <v>2230</v>
      </c>
      <c r="G43" s="1672" t="s">
        <v>104</v>
      </c>
      <c r="H43" s="1676">
        <f>IFERROR(VLOOKUP(Financeiros[[#This Row],[Tipo]],RefTabTipo[],2,FALSE),0)</f>
        <v>22</v>
      </c>
      <c r="I43" s="1639">
        <f>IFERROR(VLOOKUP(Financeiros[[#This Row],[Tipo]],RefTabTipo[],3,FALSE),0)</f>
        <v>60</v>
      </c>
      <c r="J43" s="1608">
        <f>IFERROR(VLOOKUP(Financeiros[[#This Row],[Tipo]],RefTabTipo[],4,FALSE),0)</f>
        <v>235</v>
      </c>
      <c r="K43" s="1677">
        <f>IFERROR(VLOOKUP(Financeiros[[#This Row],[Grupo Tarifário]],RefTabGrupoTarifa[],2,FALSE),0)</f>
        <v>4</v>
      </c>
      <c r="L43" s="1676">
        <f>IFERROR(VLOOKUP(Financeiros[[#This Row],[Grupo Tarifário]],RefTabGrupoTarifa[],3,FALSE),0)</f>
        <v>999</v>
      </c>
      <c r="M43" s="1677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>
      <c r="C44" s="1624" t="s">
        <v>2403</v>
      </c>
      <c r="D44" s="1451"/>
      <c r="E44" s="1763">
        <f t="shared" ca="1" si="0"/>
        <v>0</v>
      </c>
      <c r="F44" s="1757"/>
      <c r="G44" s="1758"/>
      <c r="H44" s="1764">
        <f>IFERROR(VLOOKUP(Financeiros[[#This Row],[Tipo]],RefTabTipo[],2,FALSE),0)</f>
        <v>0</v>
      </c>
      <c r="I44" s="1760">
        <f>IFERROR(VLOOKUP(Financeiros[[#This Row],[Tipo]],RefTabTipo[],3,FALSE),0)</f>
        <v>0</v>
      </c>
      <c r="J44" s="1761">
        <f>IFERROR(VLOOKUP(Financeiros[[#This Row],[Tipo]],RefTabTipo[],4,FALSE),0)</f>
        <v>0</v>
      </c>
      <c r="K44" s="1765">
        <f>IFERROR(VLOOKUP(Financeiros[[#This Row],[Grupo Tarifário]],RefTabGrupoTarifa[],2,FALSE),0)</f>
        <v>0</v>
      </c>
      <c r="L44" s="1764">
        <f>IFERROR(VLOOKUP(Financeiros[[#This Row],[Grupo Tarifário]],RefTabGrupoTarifa[],3,FALSE),0)</f>
        <v>0</v>
      </c>
      <c r="M44" s="1765">
        <f>IFERROR(VLOOKUP(Financeiros[[#This Row],[Grupo Tarifário]],RefTabGrupoTarifa[],4,FALSE),0)</f>
        <v>0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>
      <c r="C45" s="1624" t="s">
        <v>2410</v>
      </c>
      <c r="D45" s="1451"/>
      <c r="E45" s="1763">
        <f t="shared" ca="1" si="0"/>
        <v>0</v>
      </c>
      <c r="F45" s="1757"/>
      <c r="G45" s="1758"/>
      <c r="H45" s="1764">
        <f>IFERROR(VLOOKUP(Financeiros[[#This Row],[Tipo]],RefTabTipo[],2,FALSE),0)</f>
        <v>0</v>
      </c>
      <c r="I45" s="1760">
        <f>IFERROR(VLOOKUP(Financeiros[[#This Row],[Tipo]],RefTabTipo[],3,FALSE),0)</f>
        <v>0</v>
      </c>
      <c r="J45" s="1761">
        <f>IFERROR(VLOOKUP(Financeiros[[#This Row],[Tipo]],RefTabTipo[],4,FALSE),0)</f>
        <v>0</v>
      </c>
      <c r="K45" s="1765">
        <f>IFERROR(VLOOKUP(Financeiros[[#This Row],[Grupo Tarifário]],RefTabGrupoTarifa[],2,FALSE),0)</f>
        <v>0</v>
      </c>
      <c r="L45" s="1764">
        <f>IFERROR(VLOOKUP(Financeiros[[#This Row],[Grupo Tarifário]],RefTabGrupoTarifa[],3,FALSE),0)</f>
        <v>0</v>
      </c>
      <c r="M45" s="1765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624" t="s">
        <v>2411</v>
      </c>
      <c r="D46" s="1451"/>
      <c r="E46" s="1756">
        <f t="shared" ca="1" si="0"/>
        <v>0</v>
      </c>
      <c r="F46" s="1757" t="s">
        <v>2237</v>
      </c>
      <c r="G46" s="1758" t="s">
        <v>104</v>
      </c>
      <c r="H46" s="1759">
        <f>IFERROR(VLOOKUP(Financeiros[[#This Row],[Tipo]],RefTabTipo[],2,FALSE),0)</f>
        <v>22</v>
      </c>
      <c r="I46" s="1760">
        <f>IFERROR(VLOOKUP(Financeiros[[#This Row],[Tipo]],RefTabTipo[],3,FALSE),0)</f>
        <v>60</v>
      </c>
      <c r="J46" s="1761">
        <f>IFERROR(VLOOKUP(Financeiros[[#This Row],[Tipo]],RefTabTipo[],4,FALSE),0)</f>
        <v>999</v>
      </c>
      <c r="K46" s="1762">
        <f>IFERROR(VLOOKUP(Financeiros[[#This Row],[Grupo Tarifário]],RefTabGrupoTarifa[],2,FALSE),0)</f>
        <v>4</v>
      </c>
      <c r="L46" s="1759">
        <f>IFERROR(VLOOKUP(Financeiros[[#This Row],[Grupo Tarifário]],RefTabGrupoTarifa[],3,FALSE),0)</f>
        <v>999</v>
      </c>
      <c r="M46" s="1762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624" t="s">
        <v>2412</v>
      </c>
      <c r="D47" s="1451">
        <f>U58</f>
        <v>1070842.9595789597</v>
      </c>
      <c r="E47" s="1626">
        <f t="shared" ca="1" si="0"/>
        <v>1.9663937103747021E-2</v>
      </c>
      <c r="F47" s="1671" t="s">
        <v>2237</v>
      </c>
      <c r="G47" s="1672" t="s">
        <v>2269</v>
      </c>
      <c r="H47" s="1673">
        <f>IFERROR(VLOOKUP(Financeiros[[#This Row],[Tipo]],RefTabTipo[],2,FALSE),0)</f>
        <v>22</v>
      </c>
      <c r="I47" s="1639">
        <f>IFERROR(VLOOKUP(Financeiros[[#This Row],[Tipo]],RefTabTipo[],3,FALSE),0)</f>
        <v>60</v>
      </c>
      <c r="J47" s="1608">
        <f>IFERROR(VLOOKUP(Financeiros[[#This Row],[Tipo]],RefTabTipo[],4,FALSE),0)</f>
        <v>999</v>
      </c>
      <c r="K47" s="1674">
        <f>IFERROR(VLOOKUP(Financeiros[[#This Row],[Grupo Tarifário]],RefTabGrupoTarifa[],2,FALSE),0)</f>
        <v>1</v>
      </c>
      <c r="L47" s="1673">
        <f>IFERROR(VLOOKUP(Financeiros[[#This Row],[Grupo Tarifário]],RefTabGrupoTarifa[],3,FALSE),0)</f>
        <v>7</v>
      </c>
      <c r="M47" s="1674">
        <f>IFERROR(VLOOKUP(Financeiros[[#This Row],[Grupo Tarifário]],RefTabGrupoTarifa[],4,FALSE),0)</f>
        <v>9</v>
      </c>
    </row>
    <row r="48" spans="3:23" ht="16.5">
      <c r="C48" s="1624" t="s">
        <v>2413</v>
      </c>
      <c r="D48" s="1451">
        <f>U59</f>
        <v>1409357.2501711978</v>
      </c>
      <c r="E48" s="1626">
        <f t="shared" ca="1" si="0"/>
        <v>2.5880090144098113E-2</v>
      </c>
      <c r="F48" s="1671" t="s">
        <v>2237</v>
      </c>
      <c r="G48" s="1672" t="s">
        <v>2258</v>
      </c>
      <c r="H48" s="1673">
        <f>IFERROR(VLOOKUP(Financeiros[[#This Row],[Tipo]],RefTabTipo[],2,FALSE),0)</f>
        <v>22</v>
      </c>
      <c r="I48" s="1639">
        <f>IFERROR(VLOOKUP(Financeiros[[#This Row],[Tipo]],RefTabTipo[],3,FALSE),0)</f>
        <v>60</v>
      </c>
      <c r="J48" s="1608">
        <f>IFERROR(VLOOKUP(Financeiros[[#This Row],[Tipo]],RefTabTipo[],4,FALSE),0)</f>
        <v>999</v>
      </c>
      <c r="K48" s="1674">
        <f>IFERROR(VLOOKUP(Financeiros[[#This Row],[Grupo Tarifário]],RefTabGrupoTarifa[],2,FALSE),0)</f>
        <v>2</v>
      </c>
      <c r="L48" s="1673">
        <f>IFERROR(VLOOKUP(Financeiros[[#This Row],[Grupo Tarifário]],RefTabGrupoTarifa[],3,FALSE),0)</f>
        <v>30</v>
      </c>
      <c r="M48" s="1674">
        <f>IFERROR(VLOOKUP(Financeiros[[#This Row],[Grupo Tarifário]],RefTabGrupoTarifa[],4,FALSE),0)</f>
        <v>9</v>
      </c>
    </row>
    <row r="49" spans="3:23" ht="16.5">
      <c r="C49" s="1667" t="s">
        <v>2103</v>
      </c>
      <c r="D49" s="1652">
        <f>CVE!$D$9</f>
        <v>0</v>
      </c>
      <c r="E49" s="1627">
        <f t="shared" ca="1" si="0"/>
        <v>0</v>
      </c>
      <c r="F49" s="1615" t="s">
        <v>2233</v>
      </c>
      <c r="G49" s="1634" t="s">
        <v>2245</v>
      </c>
      <c r="H49" s="1616">
        <f>IFERROR(VLOOKUP(Financeiros[[#This Row],[Tipo]],RefTabTipo[],2,FALSE),0)</f>
        <v>22</v>
      </c>
      <c r="I49" s="1640">
        <f>IFERROR(VLOOKUP(Financeiros[[#This Row],[Tipo]],RefTabTipo[],3,FALSE),0)</f>
        <v>60</v>
      </c>
      <c r="J49" s="1617">
        <f>IFERROR(VLOOKUP(Financeiros[[#This Row],[Tipo]],RefTabTipo[],4,FALSE),0)</f>
        <v>241</v>
      </c>
      <c r="K49" s="1646">
        <f>IFERROR(VLOOKUP(Financeiros[[#This Row],[Grupo Tarifário]],RefTabGrupoTarifa[],2,FALSE),0)</f>
        <v>3</v>
      </c>
      <c r="L49" s="1616">
        <f>IFERROR(VLOOKUP(Financeiros[[#This Row],[Grupo Tarifário]],RefTabGrupoTarifa[],3,FALSE),0)</f>
        <v>13</v>
      </c>
      <c r="M49" s="1646">
        <f>IFERROR(VLOOKUP(Financeiros[[#This Row],[Grupo Tarifário]],RefTabGrupoTarifa[],4,FALSE),0)</f>
        <v>9</v>
      </c>
    </row>
    <row r="50" spans="3:23" ht="16.5">
      <c r="C50" s="1667" t="s">
        <v>2104</v>
      </c>
      <c r="D50" s="1652">
        <f>CVE!$D$10</f>
        <v>0</v>
      </c>
      <c r="E50" s="1627">
        <f t="shared" ca="1" si="0"/>
        <v>0</v>
      </c>
      <c r="F50" s="1615" t="s">
        <v>2233</v>
      </c>
      <c r="G50" s="1634" t="s">
        <v>2247</v>
      </c>
      <c r="H50" s="1616">
        <f>IFERROR(VLOOKUP(Financeiros[[#This Row],[Tipo]],RefTabTipo[],2,FALSE),0)</f>
        <v>22</v>
      </c>
      <c r="I50" s="1640">
        <f>IFERROR(VLOOKUP(Financeiros[[#This Row],[Tipo]],RefTabTipo[],3,FALSE),0)</f>
        <v>60</v>
      </c>
      <c r="J50" s="1617">
        <f>IFERROR(VLOOKUP(Financeiros[[#This Row],[Tipo]],RefTabTipo[],4,FALSE),0)</f>
        <v>241</v>
      </c>
      <c r="K50" s="1646">
        <f>IFERROR(VLOOKUP(Financeiros[[#This Row],[Grupo Tarifário]],RefTabGrupoTarifa[],2,FALSE),0)</f>
        <v>3</v>
      </c>
      <c r="L50" s="1616">
        <f>IFERROR(VLOOKUP(Financeiros[[#This Row],[Grupo Tarifário]],RefTabGrupoTarifa[],3,FALSE),0)</f>
        <v>15</v>
      </c>
      <c r="M50" s="1646">
        <f>IFERROR(VLOOKUP(Financeiros[[#This Row],[Grupo Tarifário]],RefTabGrupoTarifa[],4,FALSE),0)</f>
        <v>9</v>
      </c>
    </row>
    <row r="51" spans="3:23" ht="16.5">
      <c r="C51" s="1667" t="s">
        <v>2105</v>
      </c>
      <c r="D51" s="1652">
        <f>CVE!$D$11</f>
        <v>0</v>
      </c>
      <c r="E51" s="1627">
        <f t="shared" ca="1" si="0"/>
        <v>0</v>
      </c>
      <c r="F51" s="1615" t="s">
        <v>2233</v>
      </c>
      <c r="G51" s="1634" t="s">
        <v>2246</v>
      </c>
      <c r="H51" s="1616">
        <f>IFERROR(VLOOKUP(Financeiros[[#This Row],[Tipo]],RefTabTipo[],2,FALSE),0)</f>
        <v>22</v>
      </c>
      <c r="I51" s="1640">
        <f>IFERROR(VLOOKUP(Financeiros[[#This Row],[Tipo]],RefTabTipo[],3,FALSE),0)</f>
        <v>60</v>
      </c>
      <c r="J51" s="1617">
        <f>IFERROR(VLOOKUP(Financeiros[[#This Row],[Tipo]],RefTabTipo[],4,FALSE),0)</f>
        <v>241</v>
      </c>
      <c r="K51" s="1646">
        <f>IFERROR(VLOOKUP(Financeiros[[#This Row],[Grupo Tarifário]],RefTabGrupoTarifa[],2,FALSE),0)</f>
        <v>3</v>
      </c>
      <c r="L51" s="1616">
        <f>IFERROR(VLOOKUP(Financeiros[[#This Row],[Grupo Tarifário]],RefTabGrupoTarifa[],3,FALSE),0)</f>
        <v>25</v>
      </c>
      <c r="M51" s="1646">
        <f>IFERROR(VLOOKUP(Financeiros[[#This Row],[Grupo Tarifário]],RefTabGrupoTarifa[],4,FALSE),0)</f>
        <v>9</v>
      </c>
    </row>
    <row r="52" spans="3:23" ht="16.5">
      <c r="C52" s="1667" t="s">
        <v>2106</v>
      </c>
      <c r="D52" s="1652">
        <f>IFERROR(CVE!$D$12*Resultado!D25/SUM(Resultado!$D$25:$D$29),0)</f>
        <v>0</v>
      </c>
      <c r="E52" s="1627">
        <f t="shared" ca="1" si="0"/>
        <v>0</v>
      </c>
      <c r="F52" s="1615" t="s">
        <v>2233</v>
      </c>
      <c r="G52" s="1634" t="s">
        <v>2265</v>
      </c>
      <c r="H52" s="1616">
        <f>IFERROR(VLOOKUP(Financeiros[[#This Row],[Tipo]],RefTabTipo[],2,FALSE),0)</f>
        <v>22</v>
      </c>
      <c r="I52" s="1640">
        <f>IFERROR(VLOOKUP(Financeiros[[#This Row],[Tipo]],RefTabTipo[],3,FALSE),0)</f>
        <v>60</v>
      </c>
      <c r="J52" s="1617">
        <f>IFERROR(VLOOKUP(Financeiros[[#This Row],[Tipo]],RefTabTipo[],4,FALSE),0)</f>
        <v>241</v>
      </c>
      <c r="K52" s="1646">
        <f>IFERROR(VLOOKUP(Financeiros[[#This Row],[Grupo Tarifário]],RefTabGrupoTarifa[],2,FALSE),0)</f>
        <v>1</v>
      </c>
      <c r="L52" s="1616">
        <f>IFERROR(VLOOKUP(Financeiros[[#This Row],[Grupo Tarifário]],RefTabGrupoTarifa[],3,FALSE),0)</f>
        <v>1</v>
      </c>
      <c r="M52" s="1646">
        <f>IFERROR(VLOOKUP(Financeiros[[#This Row],[Grupo Tarifário]],RefTabGrupoTarifa[],4,FALSE),0)</f>
        <v>9</v>
      </c>
    </row>
    <row r="53" spans="3:23" ht="16.5">
      <c r="C53" s="1667" t="s">
        <v>2107</v>
      </c>
      <c r="D53" s="1652">
        <f>IFERROR(CVE!$D$12*Resultado!D26/SUM(Resultado!$D$25:$D$29),0)</f>
        <v>0</v>
      </c>
      <c r="E53" s="1627">
        <f t="shared" ca="1" si="0"/>
        <v>0</v>
      </c>
      <c r="F53" s="1615" t="s">
        <v>2233</v>
      </c>
      <c r="G53" s="1634" t="s">
        <v>2265</v>
      </c>
      <c r="H53" s="1616">
        <f>IFERROR(VLOOKUP(Financeiros[[#This Row],[Tipo]],RefTabTipo[],2,FALSE),0)</f>
        <v>22</v>
      </c>
      <c r="I53" s="1640">
        <f>IFERROR(VLOOKUP(Financeiros[[#This Row],[Tipo]],RefTabTipo[],3,FALSE),0)</f>
        <v>60</v>
      </c>
      <c r="J53" s="1617">
        <f>IFERROR(VLOOKUP(Financeiros[[#This Row],[Tipo]],RefTabTipo[],4,FALSE),0)</f>
        <v>241</v>
      </c>
      <c r="K53" s="1646">
        <f>IFERROR(VLOOKUP(Financeiros[[#This Row],[Grupo Tarifário]],RefTabGrupoTarifa[],2,FALSE),0)</f>
        <v>1</v>
      </c>
      <c r="L53" s="1616">
        <f>IFERROR(VLOOKUP(Financeiros[[#This Row],[Grupo Tarifário]],RefTabGrupoTarifa[],3,FALSE),0)</f>
        <v>1</v>
      </c>
      <c r="M53" s="1646">
        <f>IFERROR(VLOOKUP(Financeiros[[#This Row],[Grupo Tarifário]],RefTabGrupoTarifa[],4,FALSE),0)</f>
        <v>9</v>
      </c>
    </row>
    <row r="54" spans="3:23" ht="16.5">
      <c r="C54" s="1667" t="s">
        <v>2108</v>
      </c>
      <c r="D54" s="1652">
        <f>IFERROR(CVE!$D$12*Resultado!D28/SUM(Resultado!$D$25:$D$29),0)</f>
        <v>0</v>
      </c>
      <c r="E54" s="1627">
        <f t="shared" ca="1" si="0"/>
        <v>0</v>
      </c>
      <c r="F54" s="1615" t="s">
        <v>2233</v>
      </c>
      <c r="G54" s="1634" t="s">
        <v>2265</v>
      </c>
      <c r="H54" s="1616">
        <f>IFERROR(VLOOKUP(Financeiros[[#This Row],[Tipo]],RefTabTipo[],2,FALSE),0)</f>
        <v>22</v>
      </c>
      <c r="I54" s="1640">
        <f>IFERROR(VLOOKUP(Financeiros[[#This Row],[Tipo]],RefTabTipo[],3,FALSE),0)</f>
        <v>60</v>
      </c>
      <c r="J54" s="1617">
        <f>IFERROR(VLOOKUP(Financeiros[[#This Row],[Tipo]],RefTabTipo[],4,FALSE),0)</f>
        <v>241</v>
      </c>
      <c r="K54" s="1646">
        <f>IFERROR(VLOOKUP(Financeiros[[#This Row],[Grupo Tarifário]],RefTabGrupoTarifa[],2,FALSE),0)</f>
        <v>1</v>
      </c>
      <c r="L54" s="1616">
        <f>IFERROR(VLOOKUP(Financeiros[[#This Row],[Grupo Tarifário]],RefTabGrupoTarifa[],3,FALSE),0)</f>
        <v>1</v>
      </c>
      <c r="M54" s="1646">
        <f>IFERROR(VLOOKUP(Financeiros[[#This Row],[Grupo Tarifário]],RefTabGrupoTarifa[],4,FALSE),0)</f>
        <v>9</v>
      </c>
    </row>
    <row r="55" spans="3:23" ht="16.5">
      <c r="C55" s="1667" t="s">
        <v>2109</v>
      </c>
      <c r="D55" s="1652">
        <f>IFERROR(CVE!$D$12*Resultado!D27/SUM(Resultado!$D$25:$D$29),0)</f>
        <v>0</v>
      </c>
      <c r="E55" s="1627">
        <f t="shared" ca="1" si="0"/>
        <v>0</v>
      </c>
      <c r="F55" s="1615" t="s">
        <v>2233</v>
      </c>
      <c r="G55" s="1634" t="s">
        <v>2265</v>
      </c>
      <c r="H55" s="1616">
        <f>IFERROR(VLOOKUP(Financeiros[[#This Row],[Tipo]],RefTabTipo[],2,FALSE),0)</f>
        <v>22</v>
      </c>
      <c r="I55" s="1640">
        <f>IFERROR(VLOOKUP(Financeiros[[#This Row],[Tipo]],RefTabTipo[],3,FALSE),0)</f>
        <v>60</v>
      </c>
      <c r="J55" s="1617">
        <f>IFERROR(VLOOKUP(Financeiros[[#This Row],[Tipo]],RefTabTipo[],4,FALSE),0)</f>
        <v>241</v>
      </c>
      <c r="K55" s="1646">
        <f>IFERROR(VLOOKUP(Financeiros[[#This Row],[Grupo Tarifário]],RefTabGrupoTarifa[],2,FALSE),0)</f>
        <v>1</v>
      </c>
      <c r="L55" s="1616">
        <f>IFERROR(VLOOKUP(Financeiros[[#This Row],[Grupo Tarifário]],RefTabGrupoTarifa[],3,FALSE),0)</f>
        <v>1</v>
      </c>
      <c r="M55" s="1646">
        <f>IFERROR(VLOOKUP(Financeiros[[#This Row],[Grupo Tarifário]],RefTabGrupoTarifa[],4,FALSE),0)</f>
        <v>9</v>
      </c>
    </row>
    <row r="56" spans="3:23" ht="16.5">
      <c r="C56" s="1667" t="s">
        <v>2110</v>
      </c>
      <c r="D56" s="1652">
        <f>IFERROR(CVE!$D$12*Resultado!D29/SUM(Resultado!$D$25:$D$29),0)</f>
        <v>0</v>
      </c>
      <c r="E56" s="1627">
        <f t="shared" ca="1" si="0"/>
        <v>0</v>
      </c>
      <c r="F56" s="1615" t="s">
        <v>2233</v>
      </c>
      <c r="G56" s="1634" t="s">
        <v>2265</v>
      </c>
      <c r="H56" s="1616">
        <f>IFERROR(VLOOKUP(Financeiros[[#This Row],[Tipo]],RefTabTipo[],2,FALSE),0)</f>
        <v>22</v>
      </c>
      <c r="I56" s="1640">
        <f>IFERROR(VLOOKUP(Financeiros[[#This Row],[Tipo]],RefTabTipo[],3,FALSE),0)</f>
        <v>60</v>
      </c>
      <c r="J56" s="1617">
        <f>IFERROR(VLOOKUP(Financeiros[[#This Row],[Tipo]],RefTabTipo[],4,FALSE),0)</f>
        <v>241</v>
      </c>
      <c r="K56" s="1646">
        <f>IFERROR(VLOOKUP(Financeiros[[#This Row],[Grupo Tarifário]],RefTabGrupoTarifa[],2,FALSE),0)</f>
        <v>1</v>
      </c>
      <c r="L56" s="1616">
        <f>IFERROR(VLOOKUP(Financeiros[[#This Row],[Grupo Tarifário]],RefTabGrupoTarifa[],3,FALSE),0)</f>
        <v>1</v>
      </c>
      <c r="M56" s="1646">
        <f>IFERROR(VLOOKUP(Financeiros[[#This Row],[Grupo Tarifário]],RefTabGrupoTarifa[],4,FALSE),0)</f>
        <v>9</v>
      </c>
    </row>
    <row r="57" spans="3:23" ht="16.5">
      <c r="C57" s="1667" t="s">
        <v>2111</v>
      </c>
      <c r="D57" s="1652">
        <f>CVE!D15</f>
        <v>0</v>
      </c>
      <c r="E57" s="1627">
        <f t="shared" ca="1" si="0"/>
        <v>0</v>
      </c>
      <c r="F57" s="1615" t="s">
        <v>2233</v>
      </c>
      <c r="G57" s="1634" t="s">
        <v>2273</v>
      </c>
      <c r="H57" s="1616">
        <f>IFERROR(VLOOKUP(Financeiros[[#This Row],[Tipo]],RefTabTipo[],2,FALSE),0)</f>
        <v>22</v>
      </c>
      <c r="I57" s="1640">
        <f>IFERROR(VLOOKUP(Financeiros[[#This Row],[Tipo]],RefTabTipo[],3,FALSE),0)</f>
        <v>60</v>
      </c>
      <c r="J57" s="1617">
        <f>IFERROR(VLOOKUP(Financeiros[[#This Row],[Tipo]],RefTabTipo[],4,FALSE),0)</f>
        <v>241</v>
      </c>
      <c r="K57" s="1646">
        <f>IFERROR(VLOOKUP(Financeiros[[#This Row],[Grupo Tarifário]],RefTabGrupoTarifa[],2,FALSE),0)</f>
        <v>1</v>
      </c>
      <c r="L57" s="1616">
        <f>IFERROR(VLOOKUP(Financeiros[[#This Row],[Grupo Tarifário]],RefTabGrupoTarifa[],3,FALSE),0)</f>
        <v>21</v>
      </c>
      <c r="M57" s="1646">
        <f>IFERROR(VLOOKUP(Financeiros[[#This Row],[Grupo Tarifário]],RefTabGrupoTarifa[],4,FALSE),0)</f>
        <v>9</v>
      </c>
      <c r="T57" s="1314"/>
      <c r="U57" s="1314" t="s">
        <v>2406</v>
      </c>
      <c r="V57" s="1314" t="s">
        <v>2407</v>
      </c>
      <c r="W57" s="1314" t="s">
        <v>2408</v>
      </c>
    </row>
    <row r="58" spans="3:23" ht="16.5">
      <c r="C58" s="1667" t="s">
        <v>2112</v>
      </c>
      <c r="D58" s="1652">
        <f ca="1">IFERROR(CVE!$D$13*H2,0)</f>
        <v>0</v>
      </c>
      <c r="E58" s="1627">
        <f t="shared" ca="1" si="0"/>
        <v>0</v>
      </c>
      <c r="F58" s="1615" t="s">
        <v>2233</v>
      </c>
      <c r="G58" s="1634" t="s">
        <v>2257</v>
      </c>
      <c r="H58" s="1616">
        <f>IFERROR(VLOOKUP(Financeiros[[#This Row],[Tipo]],RefTabTipo[],2,FALSE),0)</f>
        <v>22</v>
      </c>
      <c r="I58" s="1640">
        <f>IFERROR(VLOOKUP(Financeiros[[#This Row],[Tipo]],RefTabTipo[],3,FALSE),0)</f>
        <v>60</v>
      </c>
      <c r="J58" s="1617">
        <f>IFERROR(VLOOKUP(Financeiros[[#This Row],[Tipo]],RefTabTipo[],4,FALSE),0)</f>
        <v>241</v>
      </c>
      <c r="K58" s="1646">
        <f>IFERROR(VLOOKUP(Financeiros[[#This Row],[Grupo Tarifário]],RefTabGrupoTarifa[],2,FALSE),0)</f>
        <v>2</v>
      </c>
      <c r="L58" s="1616">
        <f>IFERROR(VLOOKUP(Financeiros[[#This Row],[Grupo Tarifário]],RefTabGrupoTarifa[],3,FALSE),0)</f>
        <v>11</v>
      </c>
      <c r="M58" s="1646">
        <f>IFERROR(VLOOKUP(Financeiros[[#This Row],[Grupo Tarifário]],RefTabGrupoTarifa[],4,FALSE),0)</f>
        <v>9</v>
      </c>
      <c r="S58" s="68">
        <v>0.43175666035720189</v>
      </c>
      <c r="T58" s="1314" t="s">
        <v>753</v>
      </c>
      <c r="U58" s="1175">
        <f>S58*U60</f>
        <v>1070842.9595789597</v>
      </c>
      <c r="V58" s="1175">
        <f>-D9</f>
        <v>-348651.64813845983</v>
      </c>
      <c r="W58" s="1175">
        <f>SUM(U58:V58)</f>
        <v>722191.31144049997</v>
      </c>
    </row>
    <row r="59" spans="3:23" ht="16.5">
      <c r="C59" s="1667" t="s">
        <v>2113</v>
      </c>
      <c r="D59" s="1652">
        <f ca="1">IFERROR(CVE!$D$13*H3,0)</f>
        <v>0</v>
      </c>
      <c r="E59" s="1627">
        <f t="shared" ca="1" si="0"/>
        <v>0</v>
      </c>
      <c r="F59" s="1615" t="s">
        <v>2233</v>
      </c>
      <c r="G59" s="1634" t="s">
        <v>2259</v>
      </c>
      <c r="H59" s="1616">
        <f>IFERROR(VLOOKUP(Financeiros[[#This Row],[Tipo]],RefTabTipo[],2,FALSE),0)</f>
        <v>22</v>
      </c>
      <c r="I59" s="1640">
        <f>IFERROR(VLOOKUP(Financeiros[[#This Row],[Tipo]],RefTabTipo[],3,FALSE),0)</f>
        <v>60</v>
      </c>
      <c r="J59" s="1617">
        <f>IFERROR(VLOOKUP(Financeiros[[#This Row],[Tipo]],RefTabTipo[],4,FALSE),0)</f>
        <v>241</v>
      </c>
      <c r="K59" s="1646">
        <f>IFERROR(VLOOKUP(Financeiros[[#This Row],[Grupo Tarifário]],RefTabGrupoTarifa[],2,FALSE),0)</f>
        <v>2</v>
      </c>
      <c r="L59" s="1616">
        <f>IFERROR(VLOOKUP(Financeiros[[#This Row],[Grupo Tarifário]],RefTabGrupoTarifa[],3,FALSE),0)</f>
        <v>9</v>
      </c>
      <c r="M59" s="1646">
        <f>IFERROR(VLOOKUP(Financeiros[[#This Row],[Grupo Tarifário]],RefTabGrupoTarifa[],4,FALSE),0)</f>
        <v>9</v>
      </c>
      <c r="S59" s="68">
        <v>0.56824333964279805</v>
      </c>
      <c r="T59" s="1314" t="s">
        <v>971</v>
      </c>
      <c r="U59" s="1175">
        <f>S59*U60</f>
        <v>1409357.2501711978</v>
      </c>
      <c r="V59" s="1175">
        <f ca="1">-(D10+D12)</f>
        <v>-516653.90482881729</v>
      </c>
      <c r="W59" s="1175">
        <f ca="1">SUM(U59:V59)</f>
        <v>892703.34534238046</v>
      </c>
    </row>
    <row r="60" spans="3:23" ht="16.5">
      <c r="C60" s="1667" t="s">
        <v>2114</v>
      </c>
      <c r="D60" s="1652">
        <f ca="1">IFERROR(CVE!$D$13*H4,0)</f>
        <v>0</v>
      </c>
      <c r="E60" s="1627">
        <f t="shared" ca="1" si="0"/>
        <v>0</v>
      </c>
      <c r="F60" s="1615" t="s">
        <v>2233</v>
      </c>
      <c r="G60" s="1634" t="s">
        <v>2262</v>
      </c>
      <c r="H60" s="1616">
        <f>IFERROR(VLOOKUP(Financeiros[[#This Row],[Tipo]],RefTabTipo[],2,FALSE),0)</f>
        <v>22</v>
      </c>
      <c r="I60" s="1640">
        <f>IFERROR(VLOOKUP(Financeiros[[#This Row],[Tipo]],RefTabTipo[],3,FALSE),0)</f>
        <v>60</v>
      </c>
      <c r="J60" s="1617">
        <f>IFERROR(VLOOKUP(Financeiros[[#This Row],[Tipo]],RefTabTipo[],4,FALSE),0)</f>
        <v>241</v>
      </c>
      <c r="K60" s="1646">
        <f>IFERROR(VLOOKUP(Financeiros[[#This Row],[Grupo Tarifário]],RefTabGrupoTarifa[],2,FALSE),0)</f>
        <v>2</v>
      </c>
      <c r="L60" s="1616">
        <f>IFERROR(VLOOKUP(Financeiros[[#This Row],[Grupo Tarifário]],RefTabGrupoTarifa[],3,FALSE),0)</f>
        <v>8</v>
      </c>
      <c r="M60" s="1646">
        <f>IFERROR(VLOOKUP(Financeiros[[#This Row],[Grupo Tarifário]],RefTabGrupoTarifa[],4,FALSE),0)</f>
        <v>9</v>
      </c>
      <c r="T60" s="1314"/>
      <c r="U60" s="1175">
        <f>Indexador!G17</f>
        <v>2480200.2097501578</v>
      </c>
      <c r="V60" s="1175">
        <f ca="1">SUM(V58:V59)</f>
        <v>-865305.55296727712</v>
      </c>
      <c r="W60" s="1175"/>
    </row>
    <row r="61" spans="3:23" ht="16.5">
      <c r="C61" s="1667" t="s">
        <v>2115</v>
      </c>
      <c r="D61" s="1652">
        <f ca="1">IFERROR(CVE!$D$13*H5,0)</f>
        <v>0</v>
      </c>
      <c r="E61" s="1627">
        <f t="shared" ca="1" si="0"/>
        <v>0</v>
      </c>
      <c r="F61" s="1615" t="s">
        <v>2233</v>
      </c>
      <c r="G61" s="1634" t="s">
        <v>2260</v>
      </c>
      <c r="H61" s="1616">
        <f>IFERROR(VLOOKUP(Financeiros[[#This Row],[Tipo]],RefTabTipo[],2,FALSE),0)</f>
        <v>22</v>
      </c>
      <c r="I61" s="1640">
        <f>IFERROR(VLOOKUP(Financeiros[[#This Row],[Tipo]],RefTabTipo[],3,FALSE),0)</f>
        <v>60</v>
      </c>
      <c r="J61" s="1617">
        <f>IFERROR(VLOOKUP(Financeiros[[#This Row],[Tipo]],RefTabTipo[],4,FALSE),0)</f>
        <v>241</v>
      </c>
      <c r="K61" s="1646">
        <f>IFERROR(VLOOKUP(Financeiros[[#This Row],[Grupo Tarifário]],RefTabGrupoTarifa[],2,FALSE),0)</f>
        <v>2</v>
      </c>
      <c r="L61" s="1616">
        <f>IFERROR(VLOOKUP(Financeiros[[#This Row],[Grupo Tarifário]],RefTabGrupoTarifa[],3,FALSE),0)</f>
        <v>10</v>
      </c>
      <c r="M61" s="1646">
        <f>IFERROR(VLOOKUP(Financeiros[[#This Row],[Grupo Tarifário]],RefTabGrupoTarifa[],4,FALSE),0)</f>
        <v>9</v>
      </c>
    </row>
    <row r="62" spans="3:23" ht="16.5">
      <c r="C62" s="1667" t="s">
        <v>2116</v>
      </c>
      <c r="D62" s="1652">
        <f ca="1">IFERROR(CVE!$D$13*H6,0)</f>
        <v>0</v>
      </c>
      <c r="E62" s="1627">
        <f t="shared" ca="1" si="0"/>
        <v>0</v>
      </c>
      <c r="F62" s="1615" t="s">
        <v>2233</v>
      </c>
      <c r="G62" s="1634" t="s">
        <v>2261</v>
      </c>
      <c r="H62" s="1616">
        <f>IFERROR(VLOOKUP(Financeiros[[#This Row],[Tipo]],RefTabTipo[],2,FALSE),0)</f>
        <v>22</v>
      </c>
      <c r="I62" s="1640">
        <f>IFERROR(VLOOKUP(Financeiros[[#This Row],[Tipo]],RefTabTipo[],3,FALSE),0)</f>
        <v>60</v>
      </c>
      <c r="J62" s="1617">
        <f>IFERROR(VLOOKUP(Financeiros[[#This Row],[Tipo]],RefTabTipo[],4,FALSE),0)</f>
        <v>241</v>
      </c>
      <c r="K62" s="1646">
        <f>IFERROR(VLOOKUP(Financeiros[[#This Row],[Grupo Tarifário]],RefTabGrupoTarifa[],2,FALSE),0)</f>
        <v>2</v>
      </c>
      <c r="L62" s="1616">
        <f>IFERROR(VLOOKUP(Financeiros[[#This Row],[Grupo Tarifário]],RefTabGrupoTarifa[],3,FALSE),0)</f>
        <v>24</v>
      </c>
      <c r="M62" s="1646">
        <f>IFERROR(VLOOKUP(Financeiros[[#This Row],[Grupo Tarifário]],RefTabGrupoTarifa[],4,FALSE),0)</f>
        <v>9</v>
      </c>
    </row>
    <row r="63" spans="3:23" ht="16.5">
      <c r="C63" s="1667" t="s">
        <v>2117</v>
      </c>
      <c r="D63" s="1652">
        <f>IFERROR(CVE!$D$16,0)</f>
        <v>0</v>
      </c>
      <c r="E63" s="1627">
        <f t="shared" ca="1" si="0"/>
        <v>0</v>
      </c>
      <c r="F63" s="1615" t="s">
        <v>2233</v>
      </c>
      <c r="G63" s="1634" t="s">
        <v>2254</v>
      </c>
      <c r="H63" s="1616">
        <f>IFERROR(VLOOKUP(Financeiros[[#This Row],[Tipo]],RefTabTipo[],2,FALSE),0)</f>
        <v>22</v>
      </c>
      <c r="I63" s="1640">
        <f>IFERROR(VLOOKUP(Financeiros[[#This Row],[Tipo]],RefTabTipo[],3,FALSE),0)</f>
        <v>60</v>
      </c>
      <c r="J63" s="1617">
        <f>IFERROR(VLOOKUP(Financeiros[[#This Row],[Tipo]],RefTabTipo[],4,FALSE),0)</f>
        <v>241</v>
      </c>
      <c r="K63" s="1646">
        <f>IFERROR(VLOOKUP(Financeiros[[#This Row],[Grupo Tarifário]],RefTabGrupoTarifa[],2,FALSE),0)</f>
        <v>3</v>
      </c>
      <c r="L63" s="1616">
        <f>IFERROR(VLOOKUP(Financeiros[[#This Row],[Grupo Tarifário]],RefTabGrupoTarifa[],3,FALSE),0)</f>
        <v>18</v>
      </c>
      <c r="M63" s="1646">
        <f>IFERROR(VLOOKUP(Financeiros[[#This Row],[Grupo Tarifário]],RefTabGrupoTarifa[],4,FALSE),0)</f>
        <v>9</v>
      </c>
    </row>
    <row r="64" spans="3:23" ht="16.5">
      <c r="C64" s="1667" t="s">
        <v>2118</v>
      </c>
      <c r="D64" s="1652">
        <f>CVE!D14</f>
        <v>0</v>
      </c>
      <c r="E64" s="1627">
        <f t="shared" ca="1" si="0"/>
        <v>0</v>
      </c>
      <c r="F64" s="1615" t="s">
        <v>2233</v>
      </c>
      <c r="G64" s="1634" t="s">
        <v>2251</v>
      </c>
      <c r="H64" s="1616">
        <f>IFERROR(VLOOKUP(Financeiros[[#This Row],[Tipo]],RefTabTipo[],2,FALSE),0)</f>
        <v>22</v>
      </c>
      <c r="I64" s="1640">
        <f>IFERROR(VLOOKUP(Financeiros[[#This Row],[Tipo]],RefTabTipo[],3,FALSE),0)</f>
        <v>60</v>
      </c>
      <c r="J64" s="1617">
        <f>IFERROR(VLOOKUP(Financeiros[[#This Row],[Tipo]],RefTabTipo[],4,FALSE),0)</f>
        <v>241</v>
      </c>
      <c r="K64" s="1646">
        <f>IFERROR(VLOOKUP(Financeiros[[#This Row],[Grupo Tarifário]],RefTabGrupoTarifa[],2,FALSE),0)</f>
        <v>3</v>
      </c>
      <c r="L64" s="1616">
        <f>IFERROR(VLOOKUP(Financeiros[[#This Row],[Grupo Tarifário]],RefTabGrupoTarifa[],3,FALSE),0)</f>
        <v>16</v>
      </c>
      <c r="M64" s="1646">
        <f>IFERROR(VLOOKUP(Financeiros[[#This Row],[Grupo Tarifário]],RefTabGrupoTarifa[],4,FALSE),0)</f>
        <v>9</v>
      </c>
    </row>
    <row r="65" spans="3:13" ht="16.5">
      <c r="C65" s="1667" t="s">
        <v>2119</v>
      </c>
      <c r="D65" s="1652">
        <f>CVE!D17</f>
        <v>0</v>
      </c>
      <c r="E65" s="1627">
        <f t="shared" ca="1" si="0"/>
        <v>0</v>
      </c>
      <c r="F65" s="1615" t="s">
        <v>2233</v>
      </c>
      <c r="G65" s="1634" t="s">
        <v>2244</v>
      </c>
      <c r="H65" s="1616">
        <f>IFERROR(VLOOKUP(Financeiros[[#This Row],[Tipo]],RefTabTipo[],2,FALSE),0)</f>
        <v>22</v>
      </c>
      <c r="I65" s="1640">
        <f>IFERROR(VLOOKUP(Financeiros[[#This Row],[Tipo]],RefTabTipo[],3,FALSE),0)</f>
        <v>60</v>
      </c>
      <c r="J65" s="1617">
        <f>IFERROR(VLOOKUP(Financeiros[[#This Row],[Tipo]],RefTabTipo[],4,FALSE),0)</f>
        <v>241</v>
      </c>
      <c r="K65" s="1646">
        <f>IFERROR(VLOOKUP(Financeiros[[#This Row],[Grupo Tarifário]],RefTabGrupoTarifa[],2,FALSE),0)</f>
        <v>3</v>
      </c>
      <c r="L65" s="1616">
        <f>IFERROR(VLOOKUP(Financeiros[[#This Row],[Grupo Tarifário]],RefTabGrupoTarifa[],3,FALSE),0)</f>
        <v>17</v>
      </c>
      <c r="M65" s="1646">
        <f>IFERROR(VLOOKUP(Financeiros[[#This Row],[Grupo Tarifário]],RefTabGrupoTarifa[],4,FALSE),0)</f>
        <v>9</v>
      </c>
    </row>
    <row r="66" spans="3:13" ht="16.5">
      <c r="C66" s="1668" t="s">
        <v>2091</v>
      </c>
      <c r="D66" s="1766">
        <f ca="1">IFERROR('Financeiros Mitigação'!$D$5*H2,0)</f>
        <v>0</v>
      </c>
      <c r="E66" s="1628">
        <f t="shared" ca="1" si="0"/>
        <v>0</v>
      </c>
      <c r="F66" s="1612" t="s">
        <v>2235</v>
      </c>
      <c r="G66" s="1635" t="s">
        <v>2257</v>
      </c>
      <c r="H66" s="1613">
        <f>IFERROR(VLOOKUP(Financeiros[[#This Row],[Tipo]],RefTabTipo[],2,FALSE),0)</f>
        <v>22</v>
      </c>
      <c r="I66" s="1641">
        <f>IFERROR(VLOOKUP(Financeiros[[#This Row],[Tipo]],RefTabTipo[],3,FALSE),0)</f>
        <v>60</v>
      </c>
      <c r="J66" s="1614">
        <f>IFERROR(VLOOKUP(Financeiros[[#This Row],[Tipo]],RefTabTipo[],4,FALSE),0)</f>
        <v>240</v>
      </c>
      <c r="K66" s="1647">
        <f>IFERROR(VLOOKUP(Financeiros[[#This Row],[Grupo Tarifário]],RefTabGrupoTarifa[],2,FALSE),0)</f>
        <v>2</v>
      </c>
      <c r="L66" s="1613">
        <f>IFERROR(VLOOKUP(Financeiros[[#This Row],[Grupo Tarifário]],RefTabGrupoTarifa[],3,FALSE),0)</f>
        <v>11</v>
      </c>
      <c r="M66" s="1647">
        <f>IFERROR(VLOOKUP(Financeiros[[#This Row],[Grupo Tarifário]],RefTabGrupoTarifa[],4,FALSE),0)</f>
        <v>9</v>
      </c>
    </row>
    <row r="67" spans="3:13" ht="16.5">
      <c r="C67" s="1668" t="s">
        <v>2092</v>
      </c>
      <c r="D67" s="1766">
        <f ca="1">IFERROR('Financeiros Mitigação'!$D$5*H3,0)</f>
        <v>0</v>
      </c>
      <c r="E67" s="1628">
        <f t="shared" ca="1" si="0"/>
        <v>0</v>
      </c>
      <c r="F67" s="1612" t="s">
        <v>2235</v>
      </c>
      <c r="G67" s="1635" t="s">
        <v>2259</v>
      </c>
      <c r="H67" s="1613">
        <f>IFERROR(VLOOKUP(Financeiros[[#This Row],[Tipo]],RefTabTipo[],2,FALSE),0)</f>
        <v>22</v>
      </c>
      <c r="I67" s="1641">
        <f>IFERROR(VLOOKUP(Financeiros[[#This Row],[Tipo]],RefTabTipo[],3,FALSE),0)</f>
        <v>60</v>
      </c>
      <c r="J67" s="1614">
        <f>IFERROR(VLOOKUP(Financeiros[[#This Row],[Tipo]],RefTabTipo[],4,FALSE),0)</f>
        <v>240</v>
      </c>
      <c r="K67" s="1647">
        <f>IFERROR(VLOOKUP(Financeiros[[#This Row],[Grupo Tarifário]],RefTabGrupoTarifa[],2,FALSE),0)</f>
        <v>2</v>
      </c>
      <c r="L67" s="1613">
        <f>IFERROR(VLOOKUP(Financeiros[[#This Row],[Grupo Tarifário]],RefTabGrupoTarifa[],3,FALSE),0)</f>
        <v>9</v>
      </c>
      <c r="M67" s="1647">
        <f>IFERROR(VLOOKUP(Financeiros[[#This Row],[Grupo Tarifário]],RefTabGrupoTarifa[],4,FALSE),0)</f>
        <v>9</v>
      </c>
    </row>
    <row r="68" spans="3:13" ht="16.5">
      <c r="C68" s="1668" t="s">
        <v>2093</v>
      </c>
      <c r="D68" s="1766">
        <f ca="1">IFERROR('Financeiros Mitigação'!$D$5*H4,0)</f>
        <v>0</v>
      </c>
      <c r="E68" s="1628">
        <f t="shared" ca="1" si="0"/>
        <v>0</v>
      </c>
      <c r="F68" s="1612" t="s">
        <v>2235</v>
      </c>
      <c r="G68" s="1635" t="s">
        <v>2262</v>
      </c>
      <c r="H68" s="1613">
        <f>IFERROR(VLOOKUP(Financeiros[[#This Row],[Tipo]],RefTabTipo[],2,FALSE),0)</f>
        <v>22</v>
      </c>
      <c r="I68" s="1641">
        <f>IFERROR(VLOOKUP(Financeiros[[#This Row],[Tipo]],RefTabTipo[],3,FALSE),0)</f>
        <v>60</v>
      </c>
      <c r="J68" s="1614">
        <f>IFERROR(VLOOKUP(Financeiros[[#This Row],[Tipo]],RefTabTipo[],4,FALSE),0)</f>
        <v>240</v>
      </c>
      <c r="K68" s="1647">
        <f>IFERROR(VLOOKUP(Financeiros[[#This Row],[Grupo Tarifário]],RefTabGrupoTarifa[],2,FALSE),0)</f>
        <v>2</v>
      </c>
      <c r="L68" s="1613">
        <f>IFERROR(VLOOKUP(Financeiros[[#This Row],[Grupo Tarifário]],RefTabGrupoTarifa[],3,FALSE),0)</f>
        <v>8</v>
      </c>
      <c r="M68" s="1647">
        <f>IFERROR(VLOOKUP(Financeiros[[#This Row],[Grupo Tarifário]],RefTabGrupoTarifa[],4,FALSE),0)</f>
        <v>9</v>
      </c>
    </row>
    <row r="69" spans="3:13" ht="16.5">
      <c r="C69" s="1668" t="s">
        <v>2094</v>
      </c>
      <c r="D69" s="1766">
        <f ca="1">IFERROR('Financeiros Mitigação'!$D$5*H5,0)</f>
        <v>0</v>
      </c>
      <c r="E69" s="1628">
        <f t="shared" ca="1" si="0"/>
        <v>0</v>
      </c>
      <c r="F69" s="1612" t="s">
        <v>2235</v>
      </c>
      <c r="G69" s="1635" t="s">
        <v>2260</v>
      </c>
      <c r="H69" s="1613">
        <f>IFERROR(VLOOKUP(Financeiros[[#This Row],[Tipo]],RefTabTipo[],2,FALSE),0)</f>
        <v>22</v>
      </c>
      <c r="I69" s="1641">
        <f>IFERROR(VLOOKUP(Financeiros[[#This Row],[Tipo]],RefTabTipo[],3,FALSE),0)</f>
        <v>60</v>
      </c>
      <c r="J69" s="1614">
        <f>IFERROR(VLOOKUP(Financeiros[[#This Row],[Tipo]],RefTabTipo[],4,FALSE),0)</f>
        <v>240</v>
      </c>
      <c r="K69" s="1647">
        <f>IFERROR(VLOOKUP(Financeiros[[#This Row],[Grupo Tarifário]],RefTabGrupoTarifa[],2,FALSE),0)</f>
        <v>2</v>
      </c>
      <c r="L69" s="1613">
        <f>IFERROR(VLOOKUP(Financeiros[[#This Row],[Grupo Tarifário]],RefTabGrupoTarifa[],3,FALSE),0)</f>
        <v>10</v>
      </c>
      <c r="M69" s="1647">
        <f>IFERROR(VLOOKUP(Financeiros[[#This Row],[Grupo Tarifário]],RefTabGrupoTarifa[],4,FALSE),0)</f>
        <v>9</v>
      </c>
    </row>
    <row r="70" spans="3:13" ht="16.5">
      <c r="C70" s="1668" t="s">
        <v>2095</v>
      </c>
      <c r="D70" s="1766">
        <f ca="1">IFERROR('Financeiros Mitigação'!$D$5*H6,0)</f>
        <v>0</v>
      </c>
      <c r="E70" s="1628">
        <f t="shared" ca="1" si="0"/>
        <v>0</v>
      </c>
      <c r="F70" s="1612" t="s">
        <v>2235</v>
      </c>
      <c r="G70" s="1635" t="s">
        <v>2261</v>
      </c>
      <c r="H70" s="1613">
        <f>IFERROR(VLOOKUP(Financeiros[[#This Row],[Tipo]],RefTabTipo[],2,FALSE),0)</f>
        <v>22</v>
      </c>
      <c r="I70" s="1641">
        <f>IFERROR(VLOOKUP(Financeiros[[#This Row],[Tipo]],RefTabTipo[],3,FALSE),0)</f>
        <v>60</v>
      </c>
      <c r="J70" s="1614">
        <f>IFERROR(VLOOKUP(Financeiros[[#This Row],[Tipo]],RefTabTipo[],4,FALSE),0)</f>
        <v>240</v>
      </c>
      <c r="K70" s="1647">
        <f>IFERROR(VLOOKUP(Financeiros[[#This Row],[Grupo Tarifário]],RefTabGrupoTarifa[],2,FALSE),0)</f>
        <v>2</v>
      </c>
      <c r="L70" s="1613">
        <f>IFERROR(VLOOKUP(Financeiros[[#This Row],[Grupo Tarifário]],RefTabGrupoTarifa[],3,FALSE),0)</f>
        <v>24</v>
      </c>
      <c r="M70" s="1647">
        <f>IFERROR(VLOOKUP(Financeiros[[#This Row],[Grupo Tarifário]],RefTabGrupoTarifa[],4,FALSE),0)</f>
        <v>9</v>
      </c>
    </row>
    <row r="71" spans="3:13" ht="16.5">
      <c r="C71" s="1668" t="s">
        <v>2096</v>
      </c>
      <c r="D71" s="1766">
        <f>IFERROR('Financeiros Mitigação'!D6,0)</f>
        <v>0</v>
      </c>
      <c r="E71" s="1628">
        <f t="shared" ca="1" si="0"/>
        <v>0</v>
      </c>
      <c r="F71" s="1612" t="s">
        <v>2235</v>
      </c>
      <c r="G71" s="1635" t="s">
        <v>2244</v>
      </c>
      <c r="H71" s="1613">
        <f>IFERROR(VLOOKUP(Financeiros[[#This Row],[Tipo]],RefTabTipo[],2,FALSE),0)</f>
        <v>22</v>
      </c>
      <c r="I71" s="1641">
        <f>IFERROR(VLOOKUP(Financeiros[[#This Row],[Tipo]],RefTabTipo[],3,FALSE),0)</f>
        <v>60</v>
      </c>
      <c r="J71" s="1614">
        <f>IFERROR(VLOOKUP(Financeiros[[#This Row],[Tipo]],RefTabTipo[],4,FALSE),0)</f>
        <v>240</v>
      </c>
      <c r="K71" s="1647">
        <f>IFERROR(VLOOKUP(Financeiros[[#This Row],[Grupo Tarifário]],RefTabGrupoTarifa[],2,FALSE),0)</f>
        <v>3</v>
      </c>
      <c r="L71" s="1613">
        <f>IFERROR(VLOOKUP(Financeiros[[#This Row],[Grupo Tarifário]],RefTabGrupoTarifa[],3,FALSE),0)</f>
        <v>17</v>
      </c>
      <c r="M71" s="1647">
        <f>IFERROR(VLOOKUP(Financeiros[[#This Row],[Grupo Tarifário]],RefTabGrupoTarifa[],4,FALSE),0)</f>
        <v>9</v>
      </c>
    </row>
    <row r="72" spans="3:13" ht="16.5">
      <c r="C72" s="1668" t="s">
        <v>2097</v>
      </c>
      <c r="D72" s="1766">
        <f ca="1">IFERROR('Financeiros Mitigação'!$D$7*H2,0)</f>
        <v>0</v>
      </c>
      <c r="E72" s="1628">
        <f t="shared" ca="1" si="0"/>
        <v>0</v>
      </c>
      <c r="F72" s="1612" t="s">
        <v>2235</v>
      </c>
      <c r="G72" s="1635" t="s">
        <v>2257</v>
      </c>
      <c r="H72" s="1613">
        <f>IFERROR(VLOOKUP(Financeiros[[#This Row],[Tipo]],RefTabTipo[],2,FALSE),0)</f>
        <v>22</v>
      </c>
      <c r="I72" s="1641">
        <f>IFERROR(VLOOKUP(Financeiros[[#This Row],[Tipo]],RefTabTipo[],3,FALSE),0)</f>
        <v>60</v>
      </c>
      <c r="J72" s="1614">
        <f>IFERROR(VLOOKUP(Financeiros[[#This Row],[Tipo]],RefTabTipo[],4,FALSE),0)</f>
        <v>240</v>
      </c>
      <c r="K72" s="1647">
        <f>IFERROR(VLOOKUP(Financeiros[[#This Row],[Grupo Tarifário]],RefTabGrupoTarifa[],2,FALSE),0)</f>
        <v>2</v>
      </c>
      <c r="L72" s="1613">
        <f>IFERROR(VLOOKUP(Financeiros[[#This Row],[Grupo Tarifário]],RefTabGrupoTarifa[],3,FALSE),0)</f>
        <v>11</v>
      </c>
      <c r="M72" s="1647">
        <f>IFERROR(VLOOKUP(Financeiros[[#This Row],[Grupo Tarifário]],RefTabGrupoTarifa[],4,FALSE),0)</f>
        <v>9</v>
      </c>
    </row>
    <row r="73" spans="3:13" ht="16.5">
      <c r="C73" s="1668" t="s">
        <v>2098</v>
      </c>
      <c r="D73" s="1766">
        <f ca="1">IFERROR('Financeiros Mitigação'!$D$7*H3,0)</f>
        <v>0</v>
      </c>
      <c r="E73" s="1628">
        <f t="shared" ca="1" si="0"/>
        <v>0</v>
      </c>
      <c r="F73" s="1612" t="s">
        <v>2235</v>
      </c>
      <c r="G73" s="1635" t="s">
        <v>2259</v>
      </c>
      <c r="H73" s="1613">
        <f>IFERROR(VLOOKUP(Financeiros[[#This Row],[Tipo]],RefTabTipo[],2,FALSE),0)</f>
        <v>22</v>
      </c>
      <c r="I73" s="1641">
        <f>IFERROR(VLOOKUP(Financeiros[[#This Row],[Tipo]],RefTabTipo[],3,FALSE),0)</f>
        <v>60</v>
      </c>
      <c r="J73" s="1614">
        <f>IFERROR(VLOOKUP(Financeiros[[#This Row],[Tipo]],RefTabTipo[],4,FALSE),0)</f>
        <v>240</v>
      </c>
      <c r="K73" s="1647">
        <f>IFERROR(VLOOKUP(Financeiros[[#This Row],[Grupo Tarifário]],RefTabGrupoTarifa[],2,FALSE),0)</f>
        <v>2</v>
      </c>
      <c r="L73" s="1613">
        <f>IFERROR(VLOOKUP(Financeiros[[#This Row],[Grupo Tarifário]],RefTabGrupoTarifa[],3,FALSE),0)</f>
        <v>9</v>
      </c>
      <c r="M73" s="1647">
        <f>IFERROR(VLOOKUP(Financeiros[[#This Row],[Grupo Tarifário]],RefTabGrupoTarifa[],4,FALSE),0)</f>
        <v>9</v>
      </c>
    </row>
    <row r="74" spans="3:13" ht="16.5">
      <c r="C74" s="1668" t="s">
        <v>2099</v>
      </c>
      <c r="D74" s="1766">
        <f ca="1">IFERROR('Financeiros Mitigação'!$D$7*H4,0)</f>
        <v>0</v>
      </c>
      <c r="E74" s="1628">
        <f t="shared" ref="E74:E100" ca="1" si="1">IF(ISERROR(D74/$D$4),0,D74/$D$4)</f>
        <v>0</v>
      </c>
      <c r="F74" s="1612" t="s">
        <v>2235</v>
      </c>
      <c r="G74" s="1635" t="s">
        <v>2262</v>
      </c>
      <c r="H74" s="1613">
        <f>IFERROR(VLOOKUP(Financeiros[[#This Row],[Tipo]],RefTabTipo[],2,FALSE),0)</f>
        <v>22</v>
      </c>
      <c r="I74" s="1641">
        <f>IFERROR(VLOOKUP(Financeiros[[#This Row],[Tipo]],RefTabTipo[],3,FALSE),0)</f>
        <v>60</v>
      </c>
      <c r="J74" s="1614">
        <f>IFERROR(VLOOKUP(Financeiros[[#This Row],[Tipo]],RefTabTipo[],4,FALSE),0)</f>
        <v>240</v>
      </c>
      <c r="K74" s="1647">
        <f>IFERROR(VLOOKUP(Financeiros[[#This Row],[Grupo Tarifário]],RefTabGrupoTarifa[],2,FALSE),0)</f>
        <v>2</v>
      </c>
      <c r="L74" s="1613">
        <f>IFERROR(VLOOKUP(Financeiros[[#This Row],[Grupo Tarifário]],RefTabGrupoTarifa[],3,FALSE),0)</f>
        <v>8</v>
      </c>
      <c r="M74" s="1647">
        <f>IFERROR(VLOOKUP(Financeiros[[#This Row],[Grupo Tarifário]],RefTabGrupoTarifa[],4,FALSE),0)</f>
        <v>9</v>
      </c>
    </row>
    <row r="75" spans="3:13" ht="16.5">
      <c r="C75" s="1668" t="s">
        <v>2100</v>
      </c>
      <c r="D75" s="1766">
        <f ca="1">IFERROR('Financeiros Mitigação'!$D$7*H5,0)</f>
        <v>0</v>
      </c>
      <c r="E75" s="1628">
        <f t="shared" ca="1" si="1"/>
        <v>0</v>
      </c>
      <c r="F75" s="1612" t="s">
        <v>2235</v>
      </c>
      <c r="G75" s="1635" t="s">
        <v>2260</v>
      </c>
      <c r="H75" s="1613">
        <f>IFERROR(VLOOKUP(Financeiros[[#This Row],[Tipo]],RefTabTipo[],2,FALSE),0)</f>
        <v>22</v>
      </c>
      <c r="I75" s="1641">
        <f>IFERROR(VLOOKUP(Financeiros[[#This Row],[Tipo]],RefTabTipo[],3,FALSE),0)</f>
        <v>60</v>
      </c>
      <c r="J75" s="1614">
        <f>IFERROR(VLOOKUP(Financeiros[[#This Row],[Tipo]],RefTabTipo[],4,FALSE),0)</f>
        <v>240</v>
      </c>
      <c r="K75" s="1647">
        <f>IFERROR(VLOOKUP(Financeiros[[#This Row],[Grupo Tarifário]],RefTabGrupoTarifa[],2,FALSE),0)</f>
        <v>2</v>
      </c>
      <c r="L75" s="1613">
        <f>IFERROR(VLOOKUP(Financeiros[[#This Row],[Grupo Tarifário]],RefTabGrupoTarifa[],3,FALSE),0)</f>
        <v>10</v>
      </c>
      <c r="M75" s="1647">
        <f>IFERROR(VLOOKUP(Financeiros[[#This Row],[Grupo Tarifário]],RefTabGrupoTarifa[],4,FALSE),0)</f>
        <v>9</v>
      </c>
    </row>
    <row r="76" spans="3:13" ht="16.5">
      <c r="C76" s="1668" t="s">
        <v>2101</v>
      </c>
      <c r="D76" s="1766">
        <f ca="1">IFERROR('Financeiros Mitigação'!$D$7*H6,0)</f>
        <v>0</v>
      </c>
      <c r="E76" s="1628">
        <f t="shared" ca="1" si="1"/>
        <v>0</v>
      </c>
      <c r="F76" s="1635" t="s">
        <v>2235</v>
      </c>
      <c r="G76" s="1635" t="s">
        <v>2261</v>
      </c>
      <c r="H76" s="1647">
        <f>IFERROR(VLOOKUP(Financeiros[[#This Row],[Tipo]],RefTabTipo[],2,FALSE),0)</f>
        <v>22</v>
      </c>
      <c r="I76" s="1641">
        <f>IFERROR(VLOOKUP(Financeiros[[#This Row],[Tipo]],RefTabTipo[],3,FALSE),0)</f>
        <v>60</v>
      </c>
      <c r="J76" s="1641">
        <f>IFERROR(VLOOKUP(Financeiros[[#This Row],[Tipo]],RefTabTipo[],4,FALSE),0)</f>
        <v>240</v>
      </c>
      <c r="K76" s="1647">
        <f>IFERROR(VLOOKUP(Financeiros[[#This Row],[Grupo Tarifário]],RefTabGrupoTarifa[],2,FALSE),0)</f>
        <v>2</v>
      </c>
      <c r="L76" s="1647">
        <f>IFERROR(VLOOKUP(Financeiros[[#This Row],[Grupo Tarifário]],RefTabGrupoTarifa[],3,FALSE),0)</f>
        <v>24</v>
      </c>
      <c r="M76" s="1647">
        <f>IFERROR(VLOOKUP(Financeiros[[#This Row],[Grupo Tarifário]],RefTabGrupoTarifa[],4,FALSE),0)</f>
        <v>9</v>
      </c>
    </row>
    <row r="77" spans="3:13" ht="16.5">
      <c r="C77" s="1669" t="s">
        <v>2312</v>
      </c>
      <c r="D77" s="1666">
        <f ca="1">IFERROR(CVE!$I$9*H2,0)</f>
        <v>0</v>
      </c>
      <c r="E77" s="1629">
        <f t="shared" ca="1" si="1"/>
        <v>0</v>
      </c>
      <c r="F77" s="1636" t="s">
        <v>2240</v>
      </c>
      <c r="G77" s="1636" t="s">
        <v>2257</v>
      </c>
      <c r="H77" s="1648">
        <f>IFERROR(VLOOKUP(Financeiros[[#This Row],[Tipo]],RefTabTipo[],2,FALSE),0)</f>
        <v>22</v>
      </c>
      <c r="I77" s="1642">
        <f>IFERROR(VLOOKUP(Financeiros[[#This Row],[Tipo]],RefTabTipo[],3,FALSE),0)</f>
        <v>60</v>
      </c>
      <c r="J77" s="1642">
        <f>IFERROR(VLOOKUP(Financeiros[[#This Row],[Tipo]],RefTabTipo[],4,FALSE),0)</f>
        <v>106</v>
      </c>
      <c r="K77" s="1648">
        <f>IFERROR(VLOOKUP(Financeiros[[#This Row],[Grupo Tarifário]],RefTabGrupoTarifa[],2,FALSE),0)</f>
        <v>2</v>
      </c>
      <c r="L77" s="1648">
        <f>IFERROR(VLOOKUP(Financeiros[[#This Row],[Grupo Tarifário]],RefTabGrupoTarifa[],3,FALSE),0)</f>
        <v>11</v>
      </c>
      <c r="M77" s="1648">
        <f>IFERROR(VLOOKUP(Financeiros[[#This Row],[Grupo Tarifário]],RefTabGrupoTarifa[],4,FALSE),0)</f>
        <v>9</v>
      </c>
    </row>
    <row r="78" spans="3:13" ht="16.5">
      <c r="C78" s="1669" t="s">
        <v>2313</v>
      </c>
      <c r="D78" s="1666">
        <f ca="1">IFERROR(CVE!$I$9*H3,0)</f>
        <v>0</v>
      </c>
      <c r="E78" s="1629">
        <f t="shared" ca="1" si="1"/>
        <v>0</v>
      </c>
      <c r="F78" s="1636" t="s">
        <v>2240</v>
      </c>
      <c r="G78" s="1636" t="s">
        <v>2259</v>
      </c>
      <c r="H78" s="1648">
        <f>IFERROR(VLOOKUP(Financeiros[[#This Row],[Tipo]],RefTabTipo[],2,FALSE),0)</f>
        <v>22</v>
      </c>
      <c r="I78" s="1642">
        <f>IFERROR(VLOOKUP(Financeiros[[#This Row],[Tipo]],RefTabTipo[],3,FALSE),0)</f>
        <v>60</v>
      </c>
      <c r="J78" s="1642">
        <f>IFERROR(VLOOKUP(Financeiros[[#This Row],[Tipo]],RefTabTipo[],4,FALSE),0)</f>
        <v>106</v>
      </c>
      <c r="K78" s="1648">
        <f>IFERROR(VLOOKUP(Financeiros[[#This Row],[Grupo Tarifário]],RefTabGrupoTarifa[],2,FALSE),0)</f>
        <v>2</v>
      </c>
      <c r="L78" s="1648">
        <f>IFERROR(VLOOKUP(Financeiros[[#This Row],[Grupo Tarifário]],RefTabGrupoTarifa[],3,FALSE),0)</f>
        <v>9</v>
      </c>
      <c r="M78" s="1648">
        <f>IFERROR(VLOOKUP(Financeiros[[#This Row],[Grupo Tarifário]],RefTabGrupoTarifa[],4,FALSE),0)</f>
        <v>9</v>
      </c>
    </row>
    <row r="79" spans="3:13" ht="16.5">
      <c r="C79" s="1669" t="s">
        <v>2314</v>
      </c>
      <c r="D79" s="1666">
        <f ca="1">IFERROR(CVE!$I$9*H4,0)</f>
        <v>0</v>
      </c>
      <c r="E79" s="1629">
        <f t="shared" ca="1" si="1"/>
        <v>0</v>
      </c>
      <c r="F79" s="1636" t="s">
        <v>2240</v>
      </c>
      <c r="G79" s="1636" t="s">
        <v>2262</v>
      </c>
      <c r="H79" s="1648">
        <f>IFERROR(VLOOKUP(Financeiros[[#This Row],[Tipo]],RefTabTipo[],2,FALSE),0)</f>
        <v>22</v>
      </c>
      <c r="I79" s="1642">
        <f>IFERROR(VLOOKUP(Financeiros[[#This Row],[Tipo]],RefTabTipo[],3,FALSE),0)</f>
        <v>60</v>
      </c>
      <c r="J79" s="1642">
        <f>IFERROR(VLOOKUP(Financeiros[[#This Row],[Tipo]],RefTabTipo[],4,FALSE),0)</f>
        <v>106</v>
      </c>
      <c r="K79" s="1648">
        <f>IFERROR(VLOOKUP(Financeiros[[#This Row],[Grupo Tarifário]],RefTabGrupoTarifa[],2,FALSE),0)</f>
        <v>2</v>
      </c>
      <c r="L79" s="1648">
        <f>IFERROR(VLOOKUP(Financeiros[[#This Row],[Grupo Tarifário]],RefTabGrupoTarifa[],3,FALSE),0)</f>
        <v>8</v>
      </c>
      <c r="M79" s="1648">
        <f>IFERROR(VLOOKUP(Financeiros[[#This Row],[Grupo Tarifário]],RefTabGrupoTarifa[],4,FALSE),0)</f>
        <v>9</v>
      </c>
    </row>
    <row r="80" spans="3:13" ht="16.5">
      <c r="C80" s="1669" t="s">
        <v>2315</v>
      </c>
      <c r="D80" s="1666">
        <f ca="1">IFERROR(CVE!$I$9*H5,0)</f>
        <v>0</v>
      </c>
      <c r="E80" s="1629">
        <f t="shared" ca="1" si="1"/>
        <v>0</v>
      </c>
      <c r="F80" s="1636" t="s">
        <v>2240</v>
      </c>
      <c r="G80" s="1636" t="s">
        <v>2260</v>
      </c>
      <c r="H80" s="1648">
        <f>IFERROR(VLOOKUP(Financeiros[[#This Row],[Tipo]],RefTabTipo[],2,FALSE),0)</f>
        <v>22</v>
      </c>
      <c r="I80" s="1642">
        <f>IFERROR(VLOOKUP(Financeiros[[#This Row],[Tipo]],RefTabTipo[],3,FALSE),0)</f>
        <v>60</v>
      </c>
      <c r="J80" s="1642">
        <f>IFERROR(VLOOKUP(Financeiros[[#This Row],[Tipo]],RefTabTipo[],4,FALSE),0)</f>
        <v>106</v>
      </c>
      <c r="K80" s="1648">
        <f>IFERROR(VLOOKUP(Financeiros[[#This Row],[Grupo Tarifário]],RefTabGrupoTarifa[],2,FALSE),0)</f>
        <v>2</v>
      </c>
      <c r="L80" s="1648">
        <f>IFERROR(VLOOKUP(Financeiros[[#This Row],[Grupo Tarifário]],RefTabGrupoTarifa[],3,FALSE),0)</f>
        <v>10</v>
      </c>
      <c r="M80" s="1648">
        <f>IFERROR(VLOOKUP(Financeiros[[#This Row],[Grupo Tarifário]],RefTabGrupoTarifa[],4,FALSE),0)</f>
        <v>9</v>
      </c>
    </row>
    <row r="81" spans="3:13" ht="16.5">
      <c r="C81" s="1669" t="s">
        <v>2316</v>
      </c>
      <c r="D81" s="1666">
        <f ca="1">IFERROR(CVE!$I$9*H6,0)</f>
        <v>0</v>
      </c>
      <c r="E81" s="1629">
        <f t="shared" ca="1" si="1"/>
        <v>0</v>
      </c>
      <c r="F81" s="1636" t="s">
        <v>2240</v>
      </c>
      <c r="G81" s="1636" t="s">
        <v>2261</v>
      </c>
      <c r="H81" s="1648">
        <f>IFERROR(VLOOKUP(Financeiros[[#This Row],[Tipo]],RefTabTipo[],2,FALSE),0)</f>
        <v>22</v>
      </c>
      <c r="I81" s="1642">
        <f>IFERROR(VLOOKUP(Financeiros[[#This Row],[Tipo]],RefTabTipo[],3,FALSE),0)</f>
        <v>60</v>
      </c>
      <c r="J81" s="1642">
        <f>IFERROR(VLOOKUP(Financeiros[[#This Row],[Tipo]],RefTabTipo[],4,FALSE),0)</f>
        <v>106</v>
      </c>
      <c r="K81" s="1648">
        <f>IFERROR(VLOOKUP(Financeiros[[#This Row],[Grupo Tarifário]],RefTabGrupoTarifa[],2,FALSE),0)</f>
        <v>2</v>
      </c>
      <c r="L81" s="1648">
        <f>IFERROR(VLOOKUP(Financeiros[[#This Row],[Grupo Tarifário]],RefTabGrupoTarifa[],3,FALSE),0)</f>
        <v>24</v>
      </c>
      <c r="M81" s="1648">
        <f>IFERROR(VLOOKUP(Financeiros[[#This Row],[Grupo Tarifário]],RefTabGrupoTarifa[],4,FALSE),0)</f>
        <v>9</v>
      </c>
    </row>
    <row r="82" spans="3:13" ht="16.5">
      <c r="C82" s="1670" t="s">
        <v>2293</v>
      </c>
      <c r="D82" s="1767">
        <f ca="1">IFERROR(CVE!$I$15*H2,0)</f>
        <v>0</v>
      </c>
      <c r="E82" s="1630">
        <f t="shared" ca="1" si="1"/>
        <v>0</v>
      </c>
      <c r="F82" s="1637" t="s">
        <v>1307</v>
      </c>
      <c r="G82" s="1637" t="s">
        <v>2257</v>
      </c>
      <c r="H82" s="1649">
        <f>IFERROR(VLOOKUP(Financeiros[[#This Row],[Tipo]],RefTabTipo[],2,FALSE),0)</f>
        <v>22</v>
      </c>
      <c r="I82" s="1643">
        <f>IFERROR(VLOOKUP(Financeiros[[#This Row],[Tipo]],RefTabTipo[],3,FALSE),0)</f>
        <v>62</v>
      </c>
      <c r="J82" s="1643">
        <f>IFERROR(VLOOKUP(Financeiros[[#This Row],[Tipo]],RefTabTipo[],4,FALSE),0)</f>
        <v>220</v>
      </c>
      <c r="K82" s="1649">
        <f>IFERROR(VLOOKUP(Financeiros[[#This Row],[Grupo Tarifário]],RefTabGrupoTarifa[],2,FALSE),0)</f>
        <v>2</v>
      </c>
      <c r="L82" s="1649">
        <f>IFERROR(VLOOKUP(Financeiros[[#This Row],[Grupo Tarifário]],RefTabGrupoTarifa[],3,FALSE),0)</f>
        <v>11</v>
      </c>
      <c r="M82" s="1649">
        <f>IFERROR(VLOOKUP(Financeiros[[#This Row],[Grupo Tarifário]],RefTabGrupoTarifa[],4,FALSE),0)</f>
        <v>9</v>
      </c>
    </row>
    <row r="83" spans="3:13" ht="16.5">
      <c r="C83" s="1670" t="s">
        <v>2294</v>
      </c>
      <c r="D83" s="1767">
        <f ca="1">IFERROR(CVE!$I$15*H3,0)</f>
        <v>0</v>
      </c>
      <c r="E83" s="1631">
        <f t="shared" ca="1" si="1"/>
        <v>0</v>
      </c>
      <c r="F83" s="1637" t="s">
        <v>1307</v>
      </c>
      <c r="G83" s="1637" t="s">
        <v>2259</v>
      </c>
      <c r="H83" s="1650">
        <f>IFERROR(VLOOKUP(Financeiros[[#This Row],[Tipo]],RefTabTipo[],2,FALSE),0)</f>
        <v>22</v>
      </c>
      <c r="I83" s="1644">
        <f>IFERROR(VLOOKUP(Financeiros[[#This Row],[Tipo]],RefTabTipo[],3,FALSE),0)</f>
        <v>62</v>
      </c>
      <c r="J83" s="1644">
        <f>IFERROR(VLOOKUP(Financeiros[[#This Row],[Tipo]],RefTabTipo[],4,FALSE),0)</f>
        <v>220</v>
      </c>
      <c r="K83" s="1650">
        <f>IFERROR(VLOOKUP(Financeiros[[#This Row],[Grupo Tarifário]],RefTabGrupoTarifa[],2,FALSE),0)</f>
        <v>2</v>
      </c>
      <c r="L83" s="1650">
        <f>IFERROR(VLOOKUP(Financeiros[[#This Row],[Grupo Tarifário]],RefTabGrupoTarifa[],3,FALSE),0)</f>
        <v>9</v>
      </c>
      <c r="M83" s="1650">
        <f>IFERROR(VLOOKUP(Financeiros[[#This Row],[Grupo Tarifário]],RefTabGrupoTarifa[],4,FALSE),0)</f>
        <v>9</v>
      </c>
    </row>
    <row r="84" spans="3:13" ht="16.5">
      <c r="C84" s="1670" t="s">
        <v>2295</v>
      </c>
      <c r="D84" s="1767">
        <f ca="1">IFERROR(CVE!$I$15*H4,0)</f>
        <v>0</v>
      </c>
      <c r="E84" s="1631">
        <f t="shared" ca="1" si="1"/>
        <v>0</v>
      </c>
      <c r="F84" s="1637" t="s">
        <v>1307</v>
      </c>
      <c r="G84" s="1637" t="s">
        <v>2262</v>
      </c>
      <c r="H84" s="1650">
        <f>IFERROR(VLOOKUP(Financeiros[[#This Row],[Tipo]],RefTabTipo[],2,FALSE),0)</f>
        <v>22</v>
      </c>
      <c r="I84" s="1644">
        <f>IFERROR(VLOOKUP(Financeiros[[#This Row],[Tipo]],RefTabTipo[],3,FALSE),0)</f>
        <v>62</v>
      </c>
      <c r="J84" s="1644">
        <f>IFERROR(VLOOKUP(Financeiros[[#This Row],[Tipo]],RefTabTipo[],4,FALSE),0)</f>
        <v>220</v>
      </c>
      <c r="K84" s="1650">
        <f>IFERROR(VLOOKUP(Financeiros[[#This Row],[Grupo Tarifário]],RefTabGrupoTarifa[],2,FALSE),0)</f>
        <v>2</v>
      </c>
      <c r="L84" s="1650">
        <f>IFERROR(VLOOKUP(Financeiros[[#This Row],[Grupo Tarifário]],RefTabGrupoTarifa[],3,FALSE),0)</f>
        <v>8</v>
      </c>
      <c r="M84" s="1650">
        <f>IFERROR(VLOOKUP(Financeiros[[#This Row],[Grupo Tarifário]],RefTabGrupoTarifa[],4,FALSE),0)</f>
        <v>9</v>
      </c>
    </row>
    <row r="85" spans="3:13" ht="16.5">
      <c r="C85" s="1670" t="s">
        <v>2296</v>
      </c>
      <c r="D85" s="1767">
        <f ca="1">IFERROR(CVE!$I$15*H5,0)</f>
        <v>0</v>
      </c>
      <c r="E85" s="1631">
        <f t="shared" ca="1" si="1"/>
        <v>0</v>
      </c>
      <c r="F85" s="1637" t="s">
        <v>1307</v>
      </c>
      <c r="G85" s="1637" t="s">
        <v>2260</v>
      </c>
      <c r="H85" s="1650">
        <f>IFERROR(VLOOKUP(Financeiros[[#This Row],[Tipo]],RefTabTipo[],2,FALSE),0)</f>
        <v>22</v>
      </c>
      <c r="I85" s="1644">
        <f>IFERROR(VLOOKUP(Financeiros[[#This Row],[Tipo]],RefTabTipo[],3,FALSE),0)</f>
        <v>62</v>
      </c>
      <c r="J85" s="1644">
        <f>IFERROR(VLOOKUP(Financeiros[[#This Row],[Tipo]],RefTabTipo[],4,FALSE),0)</f>
        <v>220</v>
      </c>
      <c r="K85" s="1650">
        <f>IFERROR(VLOOKUP(Financeiros[[#This Row],[Grupo Tarifário]],RefTabGrupoTarifa[],2,FALSE),0)</f>
        <v>2</v>
      </c>
      <c r="L85" s="1650">
        <f>IFERROR(VLOOKUP(Financeiros[[#This Row],[Grupo Tarifário]],RefTabGrupoTarifa[],3,FALSE),0)</f>
        <v>10</v>
      </c>
      <c r="M85" s="1650">
        <f>IFERROR(VLOOKUP(Financeiros[[#This Row],[Grupo Tarifário]],RefTabGrupoTarifa[],4,FALSE),0)</f>
        <v>9</v>
      </c>
    </row>
    <row r="86" spans="3:13" ht="16.5">
      <c r="C86" s="1670" t="s">
        <v>2297</v>
      </c>
      <c r="D86" s="1767">
        <f ca="1">IFERROR(CVE!$I$15*H6,0)</f>
        <v>0</v>
      </c>
      <c r="E86" s="1631">
        <f t="shared" ca="1" si="1"/>
        <v>0</v>
      </c>
      <c r="F86" s="1637" t="s">
        <v>1307</v>
      </c>
      <c r="G86" s="1637" t="s">
        <v>2261</v>
      </c>
      <c r="H86" s="1650">
        <f>IFERROR(VLOOKUP(Financeiros[[#This Row],[Tipo]],RefTabTipo[],2,FALSE),0)</f>
        <v>22</v>
      </c>
      <c r="I86" s="1644">
        <f>IFERROR(VLOOKUP(Financeiros[[#This Row],[Tipo]],RefTabTipo[],3,FALSE),0)</f>
        <v>62</v>
      </c>
      <c r="J86" s="1644">
        <f>IFERROR(VLOOKUP(Financeiros[[#This Row],[Tipo]],RefTabTipo[],4,FALSE),0)</f>
        <v>220</v>
      </c>
      <c r="K86" s="1650">
        <f>IFERROR(VLOOKUP(Financeiros[[#This Row],[Grupo Tarifário]],RefTabGrupoTarifa[],2,FALSE),0)</f>
        <v>2</v>
      </c>
      <c r="L86" s="1650">
        <f>IFERROR(VLOOKUP(Financeiros[[#This Row],[Grupo Tarifário]],RefTabGrupoTarifa[],3,FALSE),0)</f>
        <v>24</v>
      </c>
      <c r="M86" s="1650">
        <f>IFERROR(VLOOKUP(Financeiros[[#This Row],[Grupo Tarifário]],RefTabGrupoTarifa[],4,FALSE),0)</f>
        <v>9</v>
      </c>
    </row>
    <row r="87" spans="3:13" ht="16.5">
      <c r="C87" s="1678" t="s">
        <v>2298</v>
      </c>
      <c r="D87" s="1767">
        <f ca="1">IFERROR(Energia!$K$66*H2,0)</f>
        <v>0</v>
      </c>
      <c r="E87" s="1679">
        <f t="shared" ca="1" si="1"/>
        <v>0</v>
      </c>
      <c r="F87" s="1637" t="s">
        <v>2278</v>
      </c>
      <c r="G87" s="1637" t="s">
        <v>2257</v>
      </c>
      <c r="H87" s="1650">
        <f>IFERROR(VLOOKUP(Financeiros[[#This Row],[Tipo]],RefTabTipo[],2,FALSE),0)</f>
        <v>22</v>
      </c>
      <c r="I87" s="1644">
        <f>IFERROR(VLOOKUP(Financeiros[[#This Row],[Tipo]],RefTabTipo[],3,FALSE),0)</f>
        <v>60</v>
      </c>
      <c r="J87" s="1644">
        <f>IFERROR(VLOOKUP(Financeiros[[#This Row],[Tipo]],RefTabTipo[],4,FALSE),0)</f>
        <v>220</v>
      </c>
      <c r="K87" s="1650">
        <f>IFERROR(VLOOKUP(Financeiros[[#This Row],[Grupo Tarifário]],RefTabGrupoTarifa[],2,FALSE),0)</f>
        <v>2</v>
      </c>
      <c r="L87" s="1650">
        <f>IFERROR(VLOOKUP(Financeiros[[#This Row],[Grupo Tarifário]],RefTabGrupoTarifa[],3,FALSE),0)</f>
        <v>11</v>
      </c>
      <c r="M87" s="1650">
        <f>IFERROR(VLOOKUP(Financeiros[[#This Row],[Grupo Tarifário]],RefTabGrupoTarifa[],4,FALSE),0)</f>
        <v>9</v>
      </c>
    </row>
    <row r="88" spans="3:13" ht="16.5">
      <c r="C88" s="1678" t="s">
        <v>2299</v>
      </c>
      <c r="D88" s="1767">
        <f ca="1">IFERROR(Energia!$K$66*H3,0)</f>
        <v>0</v>
      </c>
      <c r="E88" s="1679">
        <f t="shared" ca="1" si="1"/>
        <v>0</v>
      </c>
      <c r="F88" s="1637" t="s">
        <v>2278</v>
      </c>
      <c r="G88" s="1637" t="s">
        <v>2259</v>
      </c>
      <c r="H88" s="1650">
        <f>IFERROR(VLOOKUP(Financeiros[[#This Row],[Tipo]],RefTabTipo[],2,FALSE),0)</f>
        <v>22</v>
      </c>
      <c r="I88" s="1644">
        <f>IFERROR(VLOOKUP(Financeiros[[#This Row],[Tipo]],RefTabTipo[],3,FALSE),0)</f>
        <v>60</v>
      </c>
      <c r="J88" s="1644">
        <f>IFERROR(VLOOKUP(Financeiros[[#This Row],[Tipo]],RefTabTipo[],4,FALSE),0)</f>
        <v>220</v>
      </c>
      <c r="K88" s="1650">
        <f>IFERROR(VLOOKUP(Financeiros[[#This Row],[Grupo Tarifário]],RefTabGrupoTarifa[],2,FALSE),0)</f>
        <v>2</v>
      </c>
      <c r="L88" s="1650">
        <f>IFERROR(VLOOKUP(Financeiros[[#This Row],[Grupo Tarifário]],RefTabGrupoTarifa[],3,FALSE),0)</f>
        <v>9</v>
      </c>
      <c r="M88" s="1650">
        <f>IFERROR(VLOOKUP(Financeiros[[#This Row],[Grupo Tarifário]],RefTabGrupoTarifa[],4,FALSE),0)</f>
        <v>9</v>
      </c>
    </row>
    <row r="89" spans="3:13" ht="16.5">
      <c r="C89" s="1678" t="s">
        <v>2300</v>
      </c>
      <c r="D89" s="1767">
        <f ca="1">IFERROR(Energia!$K$66*H4,0)</f>
        <v>0</v>
      </c>
      <c r="E89" s="1679">
        <f t="shared" ca="1" si="1"/>
        <v>0</v>
      </c>
      <c r="F89" s="1637" t="s">
        <v>2278</v>
      </c>
      <c r="G89" s="1637" t="s">
        <v>2262</v>
      </c>
      <c r="H89" s="1650">
        <f>IFERROR(VLOOKUP(Financeiros[[#This Row],[Tipo]],RefTabTipo[],2,FALSE),0)</f>
        <v>22</v>
      </c>
      <c r="I89" s="1644">
        <f>IFERROR(VLOOKUP(Financeiros[[#This Row],[Tipo]],RefTabTipo[],3,FALSE),0)</f>
        <v>60</v>
      </c>
      <c r="J89" s="1644">
        <f>IFERROR(VLOOKUP(Financeiros[[#This Row],[Tipo]],RefTabTipo[],4,FALSE),0)</f>
        <v>220</v>
      </c>
      <c r="K89" s="1650">
        <f>IFERROR(VLOOKUP(Financeiros[[#This Row],[Grupo Tarifário]],RefTabGrupoTarifa[],2,FALSE),0)</f>
        <v>2</v>
      </c>
      <c r="L89" s="1650">
        <f>IFERROR(VLOOKUP(Financeiros[[#This Row],[Grupo Tarifário]],RefTabGrupoTarifa[],3,FALSE),0)</f>
        <v>8</v>
      </c>
      <c r="M89" s="1650">
        <f>IFERROR(VLOOKUP(Financeiros[[#This Row],[Grupo Tarifário]],RefTabGrupoTarifa[],4,FALSE),0)</f>
        <v>9</v>
      </c>
    </row>
    <row r="90" spans="3:13" ht="16.5">
      <c r="C90" s="1678" t="s">
        <v>2301</v>
      </c>
      <c r="D90" s="1767">
        <f ca="1">IFERROR(Energia!$K$66*H5,0)</f>
        <v>0</v>
      </c>
      <c r="E90" s="1679">
        <f t="shared" ca="1" si="1"/>
        <v>0</v>
      </c>
      <c r="F90" s="1637" t="s">
        <v>2278</v>
      </c>
      <c r="G90" s="1637" t="s">
        <v>2260</v>
      </c>
      <c r="H90" s="1650">
        <f>IFERROR(VLOOKUP(Financeiros[[#This Row],[Tipo]],RefTabTipo[],2,FALSE),0)</f>
        <v>22</v>
      </c>
      <c r="I90" s="1644">
        <f>IFERROR(VLOOKUP(Financeiros[[#This Row],[Tipo]],RefTabTipo[],3,FALSE),0)</f>
        <v>60</v>
      </c>
      <c r="J90" s="1644">
        <f>IFERROR(VLOOKUP(Financeiros[[#This Row],[Tipo]],RefTabTipo[],4,FALSE),0)</f>
        <v>220</v>
      </c>
      <c r="K90" s="1650">
        <f>IFERROR(VLOOKUP(Financeiros[[#This Row],[Grupo Tarifário]],RefTabGrupoTarifa[],2,FALSE),0)</f>
        <v>2</v>
      </c>
      <c r="L90" s="1650">
        <f>IFERROR(VLOOKUP(Financeiros[[#This Row],[Grupo Tarifário]],RefTabGrupoTarifa[],3,FALSE),0)</f>
        <v>10</v>
      </c>
      <c r="M90" s="1650">
        <f>IFERROR(VLOOKUP(Financeiros[[#This Row],[Grupo Tarifário]],RefTabGrupoTarifa[],4,FALSE),0)</f>
        <v>9</v>
      </c>
    </row>
    <row r="91" spans="3:13" ht="16.5">
      <c r="C91" s="1678" t="s">
        <v>2302</v>
      </c>
      <c r="D91" s="1767">
        <f ca="1">IFERROR(Energia!$K$66*H6,0)</f>
        <v>0</v>
      </c>
      <c r="E91" s="1679">
        <f t="shared" ca="1" si="1"/>
        <v>0</v>
      </c>
      <c r="F91" s="1637" t="s">
        <v>2278</v>
      </c>
      <c r="G91" s="1637" t="s">
        <v>2261</v>
      </c>
      <c r="H91" s="1650">
        <f>IFERROR(VLOOKUP(Financeiros[[#This Row],[Tipo]],RefTabTipo[],2,FALSE),0)</f>
        <v>22</v>
      </c>
      <c r="I91" s="1644">
        <f>IFERROR(VLOOKUP(Financeiros[[#This Row],[Tipo]],RefTabTipo[],3,FALSE),0)</f>
        <v>60</v>
      </c>
      <c r="J91" s="1644">
        <f>IFERROR(VLOOKUP(Financeiros[[#This Row],[Tipo]],RefTabTipo[],4,FALSE),0)</f>
        <v>220</v>
      </c>
      <c r="K91" s="1650">
        <f>IFERROR(VLOOKUP(Financeiros[[#This Row],[Grupo Tarifário]],RefTabGrupoTarifa[],2,FALSE),0)</f>
        <v>2</v>
      </c>
      <c r="L91" s="1650">
        <f>IFERROR(VLOOKUP(Financeiros[[#This Row],[Grupo Tarifário]],RefTabGrupoTarifa[],3,FALSE),0)</f>
        <v>24</v>
      </c>
      <c r="M91" s="1650">
        <f>IFERROR(VLOOKUP(Financeiros[[#This Row],[Grupo Tarifário]],RefTabGrupoTarifa[],4,FALSE),0)</f>
        <v>9</v>
      </c>
    </row>
    <row r="92" spans="3:13" ht="16.5">
      <c r="C92" s="1624" t="s">
        <v>2419</v>
      </c>
      <c r="D92" s="1451"/>
      <c r="E92" s="1626">
        <f t="shared" ca="1" si="1"/>
        <v>0</v>
      </c>
      <c r="F92" s="1672"/>
      <c r="G92" s="1672"/>
      <c r="H92" s="1674">
        <f>IFERROR(VLOOKUP(Financeiros[[#This Row],[Tipo]],RefTabTipo[],2,FALSE),0)</f>
        <v>0</v>
      </c>
      <c r="I92" s="1639">
        <f>IFERROR(VLOOKUP(Financeiros[[#This Row],[Tipo]],RefTabTipo[],3,FALSE),0)</f>
        <v>0</v>
      </c>
      <c r="J92" s="1639">
        <f>IFERROR(VLOOKUP(Financeiros[[#This Row],[Tipo]],RefTabTipo[],4,FALSE),0)</f>
        <v>0</v>
      </c>
      <c r="K92" s="1674">
        <f>IFERROR(VLOOKUP(Financeiros[[#This Row],[Grupo Tarifário]],RefTabGrupoTarifa[],2,FALSE),0)</f>
        <v>0</v>
      </c>
      <c r="L92" s="1674">
        <f>IFERROR(VLOOKUP(Financeiros[[#This Row],[Grupo Tarifário]],RefTabGrupoTarifa[],3,FALSE),0)</f>
        <v>0</v>
      </c>
      <c r="M92" s="1674">
        <f>IFERROR(VLOOKUP(Financeiros[[#This Row],[Grupo Tarifário]],RefTabGrupoTarifa[],4,FALSE),0)</f>
        <v>0</v>
      </c>
    </row>
    <row r="93" spans="3:13" ht="16.5">
      <c r="C93" s="1624" t="s">
        <v>2420</v>
      </c>
      <c r="D93" s="1451"/>
      <c r="E93" s="1626">
        <f t="shared" ca="1" si="1"/>
        <v>0</v>
      </c>
      <c r="F93" s="1672"/>
      <c r="G93" s="1672"/>
      <c r="H93" s="1674">
        <f>IFERROR(VLOOKUP(Financeiros[[#This Row],[Tipo]],RefTabTipo[],2,FALSE),0)</f>
        <v>0</v>
      </c>
      <c r="I93" s="1639">
        <f>IFERROR(VLOOKUP(Financeiros[[#This Row],[Tipo]],RefTabTipo[],3,FALSE),0)</f>
        <v>0</v>
      </c>
      <c r="J93" s="1639">
        <f>IFERROR(VLOOKUP(Financeiros[[#This Row],[Tipo]],RefTabTipo[],4,FALSE),0)</f>
        <v>0</v>
      </c>
      <c r="K93" s="1674">
        <f>IFERROR(VLOOKUP(Financeiros[[#This Row],[Grupo Tarifário]],RefTabGrupoTarifa[],2,FALSE),0)</f>
        <v>0</v>
      </c>
      <c r="L93" s="1674">
        <f>IFERROR(VLOOKUP(Financeiros[[#This Row],[Grupo Tarifário]],RefTabGrupoTarifa[],3,FALSE),0)</f>
        <v>0</v>
      </c>
      <c r="M93" s="1674">
        <f>IFERROR(VLOOKUP(Financeiros[[#This Row],[Grupo Tarifário]],RefTabGrupoTarifa[],4,FALSE),0)</f>
        <v>0</v>
      </c>
    </row>
    <row r="94" spans="3:13" ht="16.5">
      <c r="C94" s="1624" t="s">
        <v>2421</v>
      </c>
      <c r="D94" s="1451"/>
      <c r="E94" s="1626">
        <f t="shared" ca="1" si="1"/>
        <v>0</v>
      </c>
      <c r="F94" s="1672"/>
      <c r="G94" s="1681"/>
      <c r="H94" s="1674">
        <f>IFERROR(VLOOKUP(Financeiros[[#This Row],[Tipo]],RefTabTipo[],2,FALSE),0)</f>
        <v>0</v>
      </c>
      <c r="I94" s="1639">
        <f>IFERROR(VLOOKUP(Financeiros[[#This Row],[Tipo]],RefTabTipo[],3,FALSE),0)</f>
        <v>0</v>
      </c>
      <c r="J94" s="1639">
        <f>IFERROR(VLOOKUP(Financeiros[[#This Row],[Tipo]],RefTabTipo[],4,FALSE),0)</f>
        <v>0</v>
      </c>
      <c r="K94" s="1674">
        <f>IFERROR(VLOOKUP(Financeiros[[#This Row],[Grupo Tarifário]],RefTabGrupoTarifa[],2,FALSE),0)</f>
        <v>0</v>
      </c>
      <c r="L94" s="1674">
        <f>IFERROR(VLOOKUP(Financeiros[[#This Row],[Grupo Tarifário]],RefTabGrupoTarifa[],3,FALSE),0)</f>
        <v>0</v>
      </c>
      <c r="M94" s="1674">
        <f>IFERROR(VLOOKUP(Financeiros[[#This Row],[Grupo Tarifário]],RefTabGrupoTarifa[],4,FALSE),0)</f>
        <v>0</v>
      </c>
    </row>
    <row r="95" spans="3:13" ht="16.5">
      <c r="C95" s="1624" t="s">
        <v>2422</v>
      </c>
      <c r="D95" s="1451"/>
      <c r="E95" s="1626">
        <f t="shared" ca="1" si="1"/>
        <v>0</v>
      </c>
      <c r="F95" s="1672"/>
      <c r="G95" s="1672"/>
      <c r="H95" s="1674">
        <f>IFERROR(VLOOKUP(Financeiros[[#This Row],[Tipo]],RefTabTipo[],2,FALSE),0)</f>
        <v>0</v>
      </c>
      <c r="I95" s="1639">
        <f>IFERROR(VLOOKUP(Financeiros[[#This Row],[Tipo]],RefTabTipo[],3,FALSE),0)</f>
        <v>0</v>
      </c>
      <c r="J95" s="1639">
        <f>IFERROR(VLOOKUP(Financeiros[[#This Row],[Tipo]],RefTabTipo[],4,FALSE),0)</f>
        <v>0</v>
      </c>
      <c r="K95" s="1674">
        <f>IFERROR(VLOOKUP(Financeiros[[#This Row],[Grupo Tarifário]],RefTabGrupoTarifa[],2,FALSE),0)</f>
        <v>0</v>
      </c>
      <c r="L95" s="1674">
        <f>IFERROR(VLOOKUP(Financeiros[[#This Row],[Grupo Tarifário]],RefTabGrupoTarifa[],3,FALSE),0)</f>
        <v>0</v>
      </c>
      <c r="M95" s="1674">
        <f>IFERROR(VLOOKUP(Financeiros[[#This Row],[Grupo Tarifário]],RefTabGrupoTarifa[],4,FALSE),0)</f>
        <v>0</v>
      </c>
    </row>
    <row r="96" spans="3:13" ht="16.5">
      <c r="C96" s="1624" t="s">
        <v>2423</v>
      </c>
      <c r="D96" s="1451"/>
      <c r="E96" s="1626">
        <f t="shared" ca="1" si="1"/>
        <v>0</v>
      </c>
      <c r="F96" s="1672"/>
      <c r="G96" s="1672"/>
      <c r="H96" s="1674">
        <f>IFERROR(VLOOKUP(Financeiros[[#This Row],[Tipo]],RefTabTipo[],2,FALSE),0)</f>
        <v>0</v>
      </c>
      <c r="I96" s="1639">
        <f>IFERROR(VLOOKUP(Financeiros[[#This Row],[Tipo]],RefTabTipo[],3,FALSE),0)</f>
        <v>0</v>
      </c>
      <c r="J96" s="1639">
        <f>IFERROR(VLOOKUP(Financeiros[[#This Row],[Tipo]],RefTabTipo[],4,FALSE),0)</f>
        <v>0</v>
      </c>
      <c r="K96" s="1674">
        <f>IFERROR(VLOOKUP(Financeiros[[#This Row],[Grupo Tarifário]],RefTabGrupoTarifa[],2,FALSE),0)</f>
        <v>0</v>
      </c>
      <c r="L96" s="1674">
        <f>IFERROR(VLOOKUP(Financeiros[[#This Row],[Grupo Tarifário]],RefTabGrupoTarifa[],3,FALSE),0)</f>
        <v>0</v>
      </c>
      <c r="M96" s="1674">
        <f>IFERROR(VLOOKUP(Financeiros[[#This Row],[Grupo Tarifário]],RefTabGrupoTarifa[],4,FALSE),0)</f>
        <v>0</v>
      </c>
    </row>
    <row r="97" spans="3:13" ht="16.5">
      <c r="C97" s="1624" t="s">
        <v>2424</v>
      </c>
      <c r="D97" s="1451">
        <f>-2500000</f>
        <v>-2500000</v>
      </c>
      <c r="E97" s="1626">
        <f t="shared" ca="1" si="1"/>
        <v>-4.5907611680704799E-2</v>
      </c>
      <c r="F97" s="1672" t="s">
        <v>2237</v>
      </c>
      <c r="G97" s="1672" t="s">
        <v>2269</v>
      </c>
      <c r="H97" s="1674">
        <f>IFERROR(VLOOKUP(Financeiros[[#This Row],[Tipo]],RefTabTipo[],2,FALSE),0)</f>
        <v>22</v>
      </c>
      <c r="I97" s="1639">
        <f>IFERROR(VLOOKUP(Financeiros[[#This Row],[Tipo]],RefTabTipo[],3,FALSE),0)</f>
        <v>60</v>
      </c>
      <c r="J97" s="1639">
        <f>IFERROR(VLOOKUP(Financeiros[[#This Row],[Tipo]],RefTabTipo[],4,FALSE),0)</f>
        <v>999</v>
      </c>
      <c r="K97" s="1674">
        <f>IFERROR(VLOOKUP(Financeiros[[#This Row],[Grupo Tarifário]],RefTabGrupoTarifa[],2,FALSE),0)</f>
        <v>1</v>
      </c>
      <c r="L97" s="1674">
        <f>IFERROR(VLOOKUP(Financeiros[[#This Row],[Grupo Tarifário]],RefTabGrupoTarifa[],3,FALSE),0)</f>
        <v>7</v>
      </c>
      <c r="M97" s="1674">
        <f>IFERROR(VLOOKUP(Financeiros[[#This Row],[Grupo Tarifário]],RefTabGrupoTarifa[],4,FALSE),0)</f>
        <v>9</v>
      </c>
    </row>
    <row r="98" spans="3:13" ht="16.5">
      <c r="C98" s="1624"/>
      <c r="D98" s="1451"/>
      <c r="E98" s="1626">
        <f t="shared" ca="1" si="1"/>
        <v>0</v>
      </c>
      <c r="F98" s="1672"/>
      <c r="G98" s="1672"/>
      <c r="H98" s="1674">
        <f>IFERROR(VLOOKUP(Financeiros[[#This Row],[Tipo]],RefTabTipo[],2,FALSE),0)</f>
        <v>0</v>
      </c>
      <c r="I98" s="1639">
        <f>IFERROR(VLOOKUP(Financeiros[[#This Row],[Tipo]],RefTabTipo[],3,FALSE),0)</f>
        <v>0</v>
      </c>
      <c r="J98" s="1639">
        <f>IFERROR(VLOOKUP(Financeiros[[#This Row],[Tipo]],RefTabTipo[],4,FALSE),0)</f>
        <v>0</v>
      </c>
      <c r="K98" s="1674">
        <f>IFERROR(VLOOKUP(Financeiros[[#This Row],[Grupo Tarifário]],RefTabGrupoTarifa[],2,FALSE),0)</f>
        <v>0</v>
      </c>
      <c r="L98" s="1674">
        <f>IFERROR(VLOOKUP(Financeiros[[#This Row],[Grupo Tarifário]],RefTabGrupoTarifa[],3,FALSE),0)</f>
        <v>0</v>
      </c>
      <c r="M98" s="1674">
        <f>IFERROR(VLOOKUP(Financeiros[[#This Row],[Grupo Tarifário]],RefTabGrupoTarifa[],4,FALSE),0)</f>
        <v>0</v>
      </c>
    </row>
    <row r="99" spans="3:13" ht="16.5">
      <c r="C99" s="1624"/>
      <c r="D99" s="1451"/>
      <c r="E99" s="1626">
        <f t="shared" ca="1" si="1"/>
        <v>0</v>
      </c>
      <c r="F99" s="1672"/>
      <c r="G99" s="1672"/>
      <c r="H99" s="1674">
        <f>IFERROR(VLOOKUP(Financeiros[[#This Row],[Tipo]],RefTabTipo[],2,FALSE),0)</f>
        <v>0</v>
      </c>
      <c r="I99" s="1639">
        <f>IFERROR(VLOOKUP(Financeiros[[#This Row],[Tipo]],RefTabTipo[],3,FALSE),0)</f>
        <v>0</v>
      </c>
      <c r="J99" s="1639">
        <f>IFERROR(VLOOKUP(Financeiros[[#This Row],[Tipo]],RefTabTipo[],4,FALSE),0)</f>
        <v>0</v>
      </c>
      <c r="K99" s="1674">
        <f>IFERROR(VLOOKUP(Financeiros[[#This Row],[Grupo Tarifário]],RefTabGrupoTarifa[],2,FALSE),0)</f>
        <v>0</v>
      </c>
      <c r="L99" s="1674">
        <f>IFERROR(VLOOKUP(Financeiros[[#This Row],[Grupo Tarifário]],RefTabGrupoTarifa[],3,FALSE),0)</f>
        <v>0</v>
      </c>
      <c r="M99" s="1674">
        <f>IFERROR(VLOOKUP(Financeiros[[#This Row],[Grupo Tarifário]],RefTabGrupoTarifa[],4,FALSE),0)</f>
        <v>0</v>
      </c>
    </row>
    <row r="100" spans="3:13" ht="16.5">
      <c r="C100" s="1624"/>
      <c r="D100" s="1451"/>
      <c r="E100" s="1626">
        <f t="shared" ca="1" si="1"/>
        <v>0</v>
      </c>
      <c r="F100" s="1672"/>
      <c r="G100" s="1672"/>
      <c r="H100" s="1674">
        <f>IFERROR(VLOOKUP(Financeiros[[#This Row],[Tipo]],RefTabTipo[],2,FALSE),0)</f>
        <v>0</v>
      </c>
      <c r="I100" s="1639">
        <f>IFERROR(VLOOKUP(Financeiros[[#This Row],[Tipo]],RefTabTipo[],3,FALSE),0)</f>
        <v>0</v>
      </c>
      <c r="J100" s="1639">
        <f>IFERROR(VLOOKUP(Financeiros[[#This Row],[Tipo]],RefTabTipo[],4,FALSE),0)</f>
        <v>0</v>
      </c>
      <c r="K100" s="1674">
        <f>IFERROR(VLOOKUP(Financeiros[[#This Row],[Grupo Tarifário]],RefTabGrupoTarifa[],2,FALSE),0)</f>
        <v>0</v>
      </c>
      <c r="L100" s="1674">
        <f>IFERROR(VLOOKUP(Financeiros[[#This Row],[Grupo Tarifário]],RefTabGrupoTarifa[],3,FALSE),0)</f>
        <v>0</v>
      </c>
      <c r="M100" s="1674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D34 D39:D97 E9:E97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2284</v>
      </c>
      <c r="B1" s="1228"/>
      <c r="C1" s="1228"/>
      <c r="D1" s="1228"/>
      <c r="E1" s="933"/>
      <c r="F1" s="933"/>
      <c r="G1" s="1131" t="s">
        <v>873</v>
      </c>
      <c r="H1" s="1132">
        <f ca="1">LnkTXTIRTEco</f>
        <v>7.1900000000000006E-2</v>
      </c>
    </row>
    <row r="2" spans="1:8" ht="16.5">
      <c r="A2" s="136" t="str">
        <f>CAPA!C9</f>
        <v>Ceraçá</v>
      </c>
      <c r="B2" s="70"/>
      <c r="C2" s="70"/>
      <c r="D2" s="70"/>
      <c r="E2" s="70"/>
      <c r="F2" s="70"/>
      <c r="G2" s="120" t="s">
        <v>877</v>
      </c>
      <c r="H2" s="121">
        <f ca="1">LnkTXTIRTTotal</f>
        <v>-0.1532</v>
      </c>
    </row>
    <row r="7" spans="1:8">
      <c r="A7" s="1835" t="s">
        <v>2045</v>
      </c>
      <c r="B7" s="1835"/>
      <c r="C7" s="1835"/>
      <c r="D7" s="1835"/>
      <c r="E7" s="1835"/>
      <c r="F7" s="1835"/>
      <c r="G7" s="1835"/>
      <c r="H7" s="1835"/>
    </row>
    <row r="9" spans="1:8">
      <c r="A9" s="9" t="s">
        <v>2283</v>
      </c>
    </row>
    <row r="12" spans="1:8">
      <c r="A12" s="686" t="s">
        <v>192</v>
      </c>
      <c r="B12" s="296" t="s">
        <v>2040</v>
      </c>
    </row>
    <row r="13" spans="1:8">
      <c r="A13" s="686" t="s">
        <v>952</v>
      </c>
      <c r="B13" s="1728"/>
    </row>
    <row r="14" spans="1:8">
      <c r="A14" s="686" t="s">
        <v>971</v>
      </c>
      <c r="B14" s="1728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6" t="s">
        <v>769</v>
      </c>
      <c r="B17" s="1729">
        <f>B18+B19</f>
        <v>0</v>
      </c>
      <c r="C17" s="1729">
        <f>Indexador!R49</f>
        <v>0</v>
      </c>
      <c r="D17" s="1729">
        <f>C17*85%</f>
        <v>0</v>
      </c>
      <c r="E17" s="1729">
        <f>SUM(B17:D17)</f>
        <v>0</v>
      </c>
    </row>
    <row r="18" spans="1:8">
      <c r="A18" s="686" t="s">
        <v>952</v>
      </c>
      <c r="B18" s="1729">
        <f>Indexador!V49</f>
        <v>0</v>
      </c>
      <c r="C18" s="1729">
        <f>IFERROR($C$17*C41,0)</f>
        <v>0</v>
      </c>
      <c r="D18" s="1729">
        <f t="shared" ref="D18:D19" si="0">C18*85%</f>
        <v>0</v>
      </c>
      <c r="E18" s="1729">
        <f t="shared" ref="E18:E19" si="1">SUM(B18:D18)</f>
        <v>0</v>
      </c>
    </row>
    <row r="19" spans="1:8">
      <c r="A19" s="686" t="s">
        <v>971</v>
      </c>
      <c r="B19" s="1729">
        <f>Indexador!T49</f>
        <v>0</v>
      </c>
      <c r="C19" s="1729">
        <f>IFERROR($C$17*D41,0)</f>
        <v>0</v>
      </c>
      <c r="D19" s="1729">
        <f t="shared" si="0"/>
        <v>0</v>
      </c>
      <c r="E19" s="1729">
        <f t="shared" si="1"/>
        <v>0</v>
      </c>
    </row>
    <row r="24" spans="1:8">
      <c r="A24" s="1835" t="s">
        <v>2198</v>
      </c>
      <c r="B24" s="1835"/>
      <c r="C24" s="1835"/>
      <c r="D24" s="1835"/>
      <c r="E24" s="1835"/>
      <c r="F24" s="1835"/>
      <c r="G24" s="1835"/>
      <c r="H24" s="1835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794288.29095000005</v>
      </c>
      <c r="D28" s="232">
        <f>SUMIF(FaturasT!$I:$I,'Tributos suprimento'!$B28,FaturasT!AB:AB)</f>
        <v>1005395.8222000001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820685.99673000013</v>
      </c>
      <c r="D29" s="232">
        <f>SUMIF(FaturasT!$I:$I,'Tributos suprimento'!$B29,FaturasT!AB:AB)</f>
        <v>987179.97836999991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698492.04526000004</v>
      </c>
      <c r="D30" s="232">
        <f>IF(SUMIF(FaturasT!$I:$I,'Tributos suprimento'!$B30,FaturasT!AB:AB)=0,D29,SUMIF(FaturasT!$I:$I,'Tributos suprimento'!$B30,FaturasT!AB:AB))</f>
        <v>1125795.91527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760083.71412999998</v>
      </c>
      <c r="D31" s="232">
        <f>IF(SUMIF(FaturasT!$I:$I,'Tributos suprimento'!$B31,FaturasT!AB:AB)=0,D30,SUMIF(FaturasT!$I:$I,'Tributos suprimento'!$B31,FaturasT!AB:AB))</f>
        <v>1172812.9803300002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779675.60687999998</v>
      </c>
      <c r="D32" s="232">
        <f>IF(SUMIF(FaturasT!$I:$I,'Tributos suprimento'!$B32,FaturasT!AB:AB)=0,D31,SUMIF(FaturasT!$I:$I,'Tributos suprimento'!$B32,FaturasT!AB:AB))</f>
        <v>1279598.1158699999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844422.25636</v>
      </c>
      <c r="D33" s="232">
        <f>IF(SUMIF(FaturasT!$I:$I,'Tributos suprimento'!$B33,FaturasT!AB:AB)=0,D32,SUMIF(FaturasT!$I:$I,'Tributos suprimento'!$B33,FaturasT!AB:AB))</f>
        <v>1370358.5823900001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811308.44617000001</v>
      </c>
      <c r="D34" s="232">
        <f>IF(SUMIF(FaturasT!$I:$I,'Tributos suprimento'!$B34,FaturasT!AB:AB)=0,D33,SUMIF(FaturasT!$I:$I,'Tributos suprimento'!$B34,FaturasT!AB:AB))</f>
        <v>1176512.8486500001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788564.27692999993</v>
      </c>
      <c r="D35" s="232">
        <f>IF(SUMIF(FaturasT!$I:$I,'Tributos suprimento'!$B35,FaturasT!AB:AB)=0,D34,SUMIF(FaturasT!$I:$I,'Tributos suprimento'!$B35,FaturasT!AB:AB))</f>
        <v>1242482.59773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761508.55547000002</v>
      </c>
      <c r="D36" s="232">
        <f>IF(SUMIF(FaturasT!$I:$I,'Tributos suprimento'!$B36,FaturasT!AB:AB)=0,D35,SUMIF(FaturasT!$I:$I,'Tributos suprimento'!$B36,FaturasT!AB:AB))</f>
        <v>1078301.9408400003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771065.33060999995</v>
      </c>
      <c r="D37" s="232">
        <f>IF(SUMIF(FaturasT!$I:$I,'Tributos suprimento'!$B37,FaturasT!AB:AB)=0,D36,SUMIF(FaturasT!$I:$I,'Tributos suprimento'!$B37,FaturasT!AB:AB))</f>
        <v>1153494.5086800002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767231.93653000006</v>
      </c>
      <c r="D38" s="232">
        <f>IF(SUMIF(FaturasT!$I:$I,'Tributos suprimento'!$B38,FaturasT!AB:AB)=0,D37,SUMIF(FaturasT!$I:$I,'Tributos suprimento'!$B38,FaturasT!AB:AB))</f>
        <v>1155748.3660800001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768701.50558999996</v>
      </c>
      <c r="D39" s="232">
        <f>IF(SUMIF(FaturasT!$I:$I,'Tributos suprimento'!$B39,FaturasT!AB:AB)=0,D38,SUMIF(FaturasT!$I:$I,'Tributos suprimento'!$B39,FaturasT!AB:AB))</f>
        <v>1131486.69096</v>
      </c>
    </row>
    <row r="40" spans="2:8">
      <c r="B40" s="17" t="s">
        <v>769</v>
      </c>
      <c r="C40" s="749">
        <f>SUM(C28:C39)</f>
        <v>9366027.9616099987</v>
      </c>
      <c r="D40" s="749">
        <f>SUM(D28:D39)</f>
        <v>13879168.347370001</v>
      </c>
    </row>
    <row r="41" spans="2:8">
      <c r="B41" s="1726" t="s">
        <v>2196</v>
      </c>
      <c r="C41" s="1727">
        <f>C40/($C$40+$D$40)</f>
        <v>0.40292316042913989</v>
      </c>
      <c r="D41" s="1727">
        <f>D40/($C$40+$D$40)</f>
        <v>0.59707683957086011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5" customWidth="1"/>
    <col min="2" max="2" width="11.42578125" style="1525" bestFit="1" customWidth="1"/>
    <col min="3" max="3" width="19.28515625" style="1525" customWidth="1"/>
    <col min="4" max="4" width="17.7109375" style="1525" customWidth="1"/>
    <col min="5" max="5" width="13.7109375" style="1525" customWidth="1"/>
    <col min="6" max="8" width="14.7109375" style="1525" customWidth="1"/>
    <col min="9" max="9" width="16.42578125" style="1525" customWidth="1"/>
    <col min="10" max="10" width="19.5703125" style="1525" customWidth="1"/>
    <col min="11" max="18" width="15.7109375" style="1525" customWidth="1"/>
    <col min="19" max="40" width="9" style="1525" customWidth="1"/>
    <col min="41" max="16384" width="9.140625" style="1525"/>
  </cols>
  <sheetData>
    <row r="1" spans="2:24" ht="14.1" customHeight="1"/>
    <row r="2" spans="2:24" ht="14.1" customHeight="1"/>
    <row r="3" spans="2:24" ht="42" customHeight="1">
      <c r="B3" s="1526" t="s">
        <v>2134</v>
      </c>
      <c r="C3" s="1527"/>
      <c r="D3" s="1528" t="s">
        <v>2135</v>
      </c>
      <c r="E3" s="1529" t="s">
        <v>2136</v>
      </c>
      <c r="F3" s="1527"/>
      <c r="G3" s="1528" t="s">
        <v>2137</v>
      </c>
      <c r="H3" s="1528" t="s">
        <v>2138</v>
      </c>
      <c r="I3" s="1528" t="s">
        <v>2139</v>
      </c>
      <c r="J3" s="1528" t="s">
        <v>2140</v>
      </c>
      <c r="K3" s="1528" t="s">
        <v>2141</v>
      </c>
      <c r="L3" s="1528" t="s">
        <v>2142</v>
      </c>
      <c r="M3" s="1528" t="s">
        <v>2143</v>
      </c>
      <c r="N3" s="1528" t="s">
        <v>2144</v>
      </c>
      <c r="O3" s="1528" t="s">
        <v>2145</v>
      </c>
      <c r="P3" s="1528" t="s">
        <v>2146</v>
      </c>
      <c r="Q3" s="1528" t="s">
        <v>2147</v>
      </c>
      <c r="R3" s="1530" t="s">
        <v>2148</v>
      </c>
    </row>
    <row r="4" spans="2:24" ht="14.1" customHeight="1">
      <c r="B4" s="1531" t="s">
        <v>2149</v>
      </c>
      <c r="C4" s="1531"/>
      <c r="D4" s="1531"/>
      <c r="E4" s="1532" t="s">
        <v>114</v>
      </c>
      <c r="F4" s="1533"/>
      <c r="G4" s="1531">
        <v>0</v>
      </c>
      <c r="H4" s="1534">
        <f>D4+G4</f>
        <v>0</v>
      </c>
      <c r="I4" s="1535">
        <f>+D6</f>
        <v>0</v>
      </c>
      <c r="J4" s="1535">
        <f>+F27</f>
        <v>0</v>
      </c>
      <c r="K4" s="1536"/>
      <c r="L4" s="1537">
        <f>K4*VLOOKUP(SAS_RA0_DataFim,Índices!$B$6:$F$50000,5,0)/VLOOKUP(DATE(YEAR(SAS_RA0_DataFim)-2,MONTH(CAPA!C15),1),Índices!$B$6:$F$50000,5,0)</f>
        <v>0</v>
      </c>
      <c r="M4" s="1531"/>
      <c r="N4" s="1535">
        <f>M4*VLOOKUP(SAS_RA0_DataFim,Índices!$B$6:$F$50000,5,0)/VLOOKUP(DATE(YEAR(SAS_RA0_DataFim)-1,MONTH(SAS_RA0_DataFim),1),Índices!$B$6:$F$50000,5,0)</f>
        <v>0</v>
      </c>
      <c r="O4" s="1535">
        <f>G27</f>
        <v>0</v>
      </c>
      <c r="P4" s="1535">
        <f>J4+L4+N4-O4</f>
        <v>0</v>
      </c>
      <c r="Q4" s="1535">
        <f>IF(I4*12&gt;(D4+K4+M4-P4),D4+K4+M4-P4,I4*12)</f>
        <v>0</v>
      </c>
      <c r="R4" s="1538">
        <f>P4+Q4</f>
        <v>0</v>
      </c>
    </row>
    <row r="5" spans="2:24" ht="14.1" customHeight="1"/>
    <row r="6" spans="2:24" ht="14.1" customHeight="1">
      <c r="B6" s="1539" t="s">
        <v>2150</v>
      </c>
      <c r="C6" s="1540"/>
      <c r="D6" s="1541"/>
      <c r="N6" s="1542"/>
    </row>
    <row r="7" spans="2:24" ht="14.1" customHeight="1"/>
    <row r="8" spans="2:24" ht="42" customHeight="1">
      <c r="B8" s="1526" t="s">
        <v>34</v>
      </c>
      <c r="C8" s="1528" t="s">
        <v>2151</v>
      </c>
      <c r="D8" s="1528" t="s">
        <v>2152</v>
      </c>
      <c r="E8" s="1528" t="s">
        <v>2153</v>
      </c>
      <c r="F8" s="1528" t="s">
        <v>2154</v>
      </c>
      <c r="G8" s="1528" t="s">
        <v>2155</v>
      </c>
      <c r="H8" s="1528" t="s">
        <v>2156</v>
      </c>
    </row>
    <row r="9" spans="2:24" ht="14.1" customHeight="1">
      <c r="B9" s="1543">
        <v>44197</v>
      </c>
      <c r="C9" s="1544"/>
      <c r="D9" s="1545"/>
      <c r="E9" s="1546"/>
      <c r="F9" s="1547">
        <f>C9*VLOOKUP(SAS_RA0_DataFim,Índices!$B$6:$F$50000,5,0)/VLOOKUP(DATE(YEAR($B9),MONTH($B9)-1,1),Índices!$B$6:$F$50000,5,0)</f>
        <v>0</v>
      </c>
      <c r="G9" s="1547">
        <f>D9*VLOOKUP(SAS_RA0_DataFim,Índices!$B$6:$F$50000,5,0)/VLOOKUP(DATE(YEAR($B9),MONTH($B9)-1,1),Índices!$B$6:$F$50000,5,0)</f>
        <v>0</v>
      </c>
      <c r="H9" s="1547">
        <f>E9*VLOOKUP(SAS_RA0_DataFim,Índices!$B$6:$F$50000,5,0)/VLOOKUP(DATE(YEAR($B9),MONTH($B9)-1,1),Índices!$B$6:$F$50000,5,0)</f>
        <v>0</v>
      </c>
    </row>
    <row r="10" spans="2:24" ht="14.1" customHeight="1">
      <c r="B10" s="1543">
        <v>44228</v>
      </c>
      <c r="C10" s="1548"/>
      <c r="D10" s="1545"/>
      <c r="E10" s="1549"/>
      <c r="F10" s="1550">
        <f>C10*VLOOKUP(SAS_RA0_DataFim,Índices!$B$6:$F$50000,5,0)/VLOOKUP(DATE(YEAR($B10),MONTH($B10)-1,1),Índices!$B$6:$F$50000,5,0)</f>
        <v>0</v>
      </c>
      <c r="G10" s="1550">
        <f>D10*VLOOKUP(SAS_RA0_DataFim,Índices!$B$6:$F$50000,5,0)/VLOOKUP(DATE(YEAR($B10),MONTH($B10)-1,1),Índices!$B$6:$F$50000,5,0)</f>
        <v>0</v>
      </c>
      <c r="H10" s="1550">
        <f>E10*VLOOKUP(SAS_RA0_DataFim,Índices!$B$6:$F$50000,5,0)/VLOOKUP(DATE(YEAR($B10),MONTH($B10)-1,1),Índices!$B$6:$F$50000,5,0)</f>
        <v>0</v>
      </c>
      <c r="X10" s="1551"/>
    </row>
    <row r="11" spans="2:24" ht="14.1" customHeight="1">
      <c r="B11" s="1543">
        <v>44256</v>
      </c>
      <c r="C11" s="1548"/>
      <c r="D11" s="1545"/>
      <c r="E11" s="1549"/>
      <c r="F11" s="1550">
        <f>C11*VLOOKUP(SAS_RA0_DataFim,Índices!$B$6:$F$50000,5,0)/VLOOKUP(DATE(YEAR($B11),MONTH($B11)-1,1),Índices!$B$6:$F$50000,5,0)</f>
        <v>0</v>
      </c>
      <c r="G11" s="1550">
        <f>D11*VLOOKUP(SAS_RA0_DataFim,Índices!$B$6:$F$50000,5,0)/VLOOKUP(DATE(YEAR($B11),MONTH($B11)-1,1),Índices!$B$6:$F$50000,5,0)</f>
        <v>0</v>
      </c>
      <c r="H11" s="1550">
        <f>E11*VLOOKUP(SAS_RA0_DataFim,Índices!$B$6:$F$50000,5,0)/VLOOKUP(DATE(YEAR($B11),MONTH($B11)-1,1),Índices!$B$6:$F$50000,5,0)</f>
        <v>0</v>
      </c>
    </row>
    <row r="12" spans="2:24" ht="14.1" customHeight="1">
      <c r="B12" s="1543">
        <v>44287</v>
      </c>
      <c r="C12" s="1548"/>
      <c r="D12" s="1545"/>
      <c r="E12" s="1549"/>
      <c r="F12" s="1550">
        <f>C12*VLOOKUP(SAS_RA0_DataFim,Índices!$B$6:$F$50000,5,0)/VLOOKUP(DATE(YEAR($B12),MONTH($B12)-1,1),Índices!$B$6:$F$50000,5,0)</f>
        <v>0</v>
      </c>
      <c r="G12" s="1550">
        <f>D12*VLOOKUP(SAS_RA0_DataFim,Índices!$B$6:$F$50000,5,0)/VLOOKUP(DATE(YEAR($B12),MONTH($B12)-1,1),Índices!$B$6:$F$50000,5,0)</f>
        <v>0</v>
      </c>
      <c r="H12" s="1550">
        <f>E12*VLOOKUP(SAS_RA0_DataFim,Índices!$B$6:$F$50000,5,0)/VLOOKUP(DATE(YEAR($B12),MONTH($B12)-1,1),Índices!$B$6:$F$50000,5,0)</f>
        <v>0</v>
      </c>
    </row>
    <row r="13" spans="2:24" ht="14.1" customHeight="1">
      <c r="B13" s="1543">
        <v>44317</v>
      </c>
      <c r="C13" s="1549"/>
      <c r="D13" s="1552"/>
      <c r="E13" s="1549"/>
      <c r="F13" s="1550">
        <f>C13*VLOOKUP(SAS_RA0_DataFim,Índices!$B$6:$F$50000,5,0)/VLOOKUP(DATE(YEAR($B13),MONTH($B13)-1,1),Índices!$B$6:$F$50000,5,0)</f>
        <v>0</v>
      </c>
      <c r="G13" s="1550">
        <f>D13*VLOOKUP(SAS_RA0_DataFim,Índices!$B$6:$F$50000,5,0)/VLOOKUP(DATE(YEAR($B13),MONTH($B13)-1,1),Índices!$B$6:$F$50000,5,0)</f>
        <v>0</v>
      </c>
      <c r="H13" s="1550">
        <f>E13*VLOOKUP(SAS_RA0_DataFim,Índices!$B$6:$F$50000,5,0)/VLOOKUP(DATE(YEAR($B13),MONTH($B13)-1,1),Índices!$B$6:$F$50000,5,0)</f>
        <v>0</v>
      </c>
    </row>
    <row r="14" spans="2:24" ht="14.1" customHeight="1">
      <c r="B14" s="1543">
        <v>44348</v>
      </c>
      <c r="C14" s="1553"/>
      <c r="D14" s="1552"/>
      <c r="E14" s="1549"/>
      <c r="F14" s="1550">
        <f>C14*VLOOKUP(SAS_RA0_DataFim,Índices!$B$6:$F$50000,5,0)/VLOOKUP(DATE(YEAR($B14),MONTH($B14)-1,1),Índices!$B$6:$F$50000,5,0)</f>
        <v>0</v>
      </c>
      <c r="G14" s="1550">
        <f>D14*VLOOKUP(SAS_RA0_DataFim,Índices!$B$6:$F$50000,5,0)/VLOOKUP(DATE(YEAR($B14),MONTH($B14)-1,1),Índices!$B$6:$F$50000,5,0)</f>
        <v>0</v>
      </c>
      <c r="H14" s="1550">
        <f>E14*VLOOKUP(SAS_RA0_DataFim,Índices!$B$6:$F$50000,5,0)/VLOOKUP(DATE(YEAR($B14),MONTH($B14)-1,1),Índices!$B$6:$F$50000,5,0)</f>
        <v>0</v>
      </c>
    </row>
    <row r="15" spans="2:24" ht="14.1" customHeight="1">
      <c r="B15" s="1543">
        <v>44378</v>
      </c>
      <c r="C15" s="1553"/>
      <c r="D15" s="1552"/>
      <c r="E15" s="1549"/>
      <c r="F15" s="1550">
        <f>C15*VLOOKUP(SAS_RA0_DataFim,Índices!$B$6:$F$50000,5,0)/VLOOKUP(DATE(YEAR($B15),MONTH($B15)-1,1),Índices!$B$6:$F$50000,5,0)</f>
        <v>0</v>
      </c>
      <c r="G15" s="1550">
        <f>D15*VLOOKUP(SAS_RA0_DataFim,Índices!$B$6:$F$50000,5,0)/VLOOKUP(DATE(YEAR($B15),MONTH($B15)-1,1),Índices!$B$6:$F$50000,5,0)</f>
        <v>0</v>
      </c>
      <c r="H15" s="1550">
        <f>E15*VLOOKUP(SAS_RA0_DataFim,Índices!$B$6:$F$50000,5,0)/VLOOKUP(DATE(YEAR($B15),MONTH($B15)-1,1),Índices!$B$6:$F$50000,5,0)</f>
        <v>0</v>
      </c>
    </row>
    <row r="16" spans="2:24" ht="14.1" customHeight="1">
      <c r="B16" s="1543">
        <v>44409</v>
      </c>
      <c r="C16" s="1553"/>
      <c r="D16" s="1552"/>
      <c r="E16" s="1549"/>
      <c r="F16" s="1550">
        <f>C16*VLOOKUP(SAS_RA0_DataFim,Índices!$B$6:$F$50000,5,0)/VLOOKUP(DATE(YEAR($B16),MONTH($B16)-1,1),Índices!$B$6:$F$50000,5,0)</f>
        <v>0</v>
      </c>
      <c r="G16" s="1550">
        <f>D16*VLOOKUP(SAS_RA0_DataFim,Índices!$B$6:$F$50000,5,0)/VLOOKUP(DATE(YEAR($B16),MONTH($B16)-1,1),Índices!$B$6:$F$50000,5,0)</f>
        <v>0</v>
      </c>
      <c r="H16" s="1550">
        <f>E16*VLOOKUP(SAS_RA0_DataFim,Índices!$B$6:$F$50000,5,0)/VLOOKUP(DATE(YEAR($B16),MONTH($B16)-1,1),Índices!$B$6:$F$50000,5,0)</f>
        <v>0</v>
      </c>
    </row>
    <row r="17" spans="2:8" ht="14.1" customHeight="1">
      <c r="B17" s="1543">
        <v>44440</v>
      </c>
      <c r="C17" s="1553"/>
      <c r="D17" s="1552"/>
      <c r="E17" s="1549"/>
      <c r="F17" s="1550">
        <f>C17*VLOOKUP(SAS_RA0_DataFim,Índices!$B$6:$F$50000,5,0)/VLOOKUP(DATE(YEAR($B17),MONTH($B17)-1,1),Índices!$B$6:$F$50000,5,0)</f>
        <v>0</v>
      </c>
      <c r="G17" s="1550">
        <f>D17*VLOOKUP(SAS_RA0_DataFim,Índices!$B$6:$F$50000,5,0)/VLOOKUP(DATE(YEAR($B17),MONTH($B17)-1,1),Índices!$B$6:$F$50000,5,0)</f>
        <v>0</v>
      </c>
      <c r="H17" s="1550">
        <f>E17*VLOOKUP(SAS_RA0_DataFim,Índices!$B$6:$F$50000,5,0)/VLOOKUP(DATE(YEAR($B17),MONTH($B17)-1,1),Índices!$B$6:$F$50000,5,0)</f>
        <v>0</v>
      </c>
    </row>
    <row r="18" spans="2:8" ht="14.1" customHeight="1">
      <c r="B18" s="1543">
        <v>44470</v>
      </c>
      <c r="C18" s="1553"/>
      <c r="D18" s="1552"/>
      <c r="E18" s="1549"/>
      <c r="F18" s="1550">
        <f>C18*VLOOKUP(SAS_RA0_DataFim,Índices!$B$6:$F$50000,5,0)/VLOOKUP(DATE(YEAR($B18),MONTH($B18)-1,1),Índices!$B$6:$F$50000,5,0)</f>
        <v>0</v>
      </c>
      <c r="G18" s="1550">
        <f>D18*VLOOKUP(SAS_RA0_DataFim,Índices!$B$6:$F$50000,5,0)/VLOOKUP(DATE(YEAR($B18),MONTH($B18)-1,1),Índices!$B$6:$F$50000,5,0)</f>
        <v>0</v>
      </c>
      <c r="H18" s="1550">
        <f>E18*VLOOKUP(SAS_RA0_DataFim,Índices!$B$6:$F$50000,5,0)/VLOOKUP(DATE(YEAR($B18),MONTH($B18)-1,1),Índices!$B$6:$F$50000,5,0)</f>
        <v>0</v>
      </c>
    </row>
    <row r="19" spans="2:8" ht="14.1" customHeight="1">
      <c r="B19" s="1543">
        <v>44501</v>
      </c>
      <c r="C19" s="1553"/>
      <c r="D19" s="1552"/>
      <c r="E19" s="1549"/>
      <c r="F19" s="1550">
        <f>C19*VLOOKUP(SAS_RA0_DataFim,Índices!$B$6:$F$50000,5,0)/VLOOKUP(DATE(YEAR($B19),MONTH($B19)-1,1),Índices!$B$6:$F$50000,5,0)</f>
        <v>0</v>
      </c>
      <c r="G19" s="1550">
        <f>D19*VLOOKUP(SAS_RA0_DataFim,Índices!$B$6:$F$50000,5,0)/VLOOKUP(DATE(YEAR($B19),MONTH($B19)-1,1),Índices!$B$6:$F$50000,5,0)</f>
        <v>0</v>
      </c>
      <c r="H19" s="1550">
        <f>E19*VLOOKUP(SAS_RA0_DataFim,Índices!$B$6:$F$50000,5,0)/VLOOKUP(DATE(YEAR($B19),MONTH($B19)-1,1),Índices!$B$6:$F$50000,5,0)</f>
        <v>0</v>
      </c>
    </row>
    <row r="20" spans="2:8" ht="14.1" customHeight="1">
      <c r="B20" s="1543">
        <v>44531</v>
      </c>
      <c r="C20" s="1553"/>
      <c r="D20" s="1552"/>
      <c r="E20" s="1549"/>
      <c r="F20" s="1550">
        <f>C20*VLOOKUP(SAS_RA0_DataFim,Índices!$B$6:$F$50000,5,0)/VLOOKUP(DATE(YEAR($B20),MONTH($B20)-1,1),Índices!$B$6:$F$50000,5,0)</f>
        <v>0</v>
      </c>
      <c r="G20" s="1550">
        <f>D20*VLOOKUP(SAS_RA0_DataFim,Índices!$B$6:$F$50000,5,0)/VLOOKUP(DATE(YEAR($B20),MONTH($B20)-1,1),Índices!$B$6:$F$50000,5,0)</f>
        <v>0</v>
      </c>
      <c r="H20" s="1550">
        <f>E20*VLOOKUP(SAS_RA0_DataFim,Índices!$B$6:$F$50000,5,0)/VLOOKUP(DATE(YEAR($B20),MONTH($B20)-1,1),Índices!$B$6:$F$50000,5,0)</f>
        <v>0</v>
      </c>
    </row>
    <row r="21" spans="2:8" ht="14.1" customHeight="1">
      <c r="B21" s="1543">
        <v>44562</v>
      </c>
      <c r="C21" s="1553"/>
      <c r="D21" s="1552"/>
      <c r="E21" s="1549"/>
      <c r="F21" s="1550">
        <f>C21*VLOOKUP(SAS_RA0_DataFim,Índices!$B$6:$F$50000,5,0)/VLOOKUP(DATE(YEAR($B21),MONTH($B21)-1,1),Índices!$B$6:$F$50000,5,0)</f>
        <v>0</v>
      </c>
      <c r="G21" s="1550">
        <f>D21*VLOOKUP(SAS_RA0_DataFim,Índices!$B$6:$F$50000,5,0)/VLOOKUP(DATE(YEAR($B21),MONTH($B21)-1,1),Índices!$B$6:$F$50000,5,0)</f>
        <v>0</v>
      </c>
      <c r="H21" s="1550">
        <f>E21*VLOOKUP(SAS_RA0_DataFim,Índices!$B$6:$F$50000,5,0)/VLOOKUP(DATE(YEAR($B21),MONTH($B21)-1,1),Índices!$B$6:$F$50000,5,0)</f>
        <v>0</v>
      </c>
    </row>
    <row r="22" spans="2:8" ht="14.1" customHeight="1">
      <c r="B22" s="1543">
        <v>44593</v>
      </c>
      <c r="C22" s="1553"/>
      <c r="D22" s="1552"/>
      <c r="E22" s="1549"/>
      <c r="F22" s="1550">
        <f>C22*VLOOKUP(SAS_RA0_DataFim,Índices!$B$6:$F$50000,5,0)/VLOOKUP(DATE(YEAR($B22),MONTH($B22)-1,1),Índices!$B$6:$F$50000,5,0)</f>
        <v>0</v>
      </c>
      <c r="G22" s="1550">
        <f>D22*VLOOKUP(SAS_RA0_DataFim,Índices!$B$6:$F$50000,5,0)/VLOOKUP(DATE(YEAR($B22),MONTH($B22)-1,1),Índices!$B$6:$F$50000,5,0)</f>
        <v>0</v>
      </c>
      <c r="H22" s="1550">
        <f>E22*VLOOKUP(SAS_RA0_DataFim,Índices!$B$6:$F$50000,5,0)/VLOOKUP(DATE(YEAR($B22),MONTH($B22)-1,1),Índices!$B$6:$F$50000,5,0)</f>
        <v>0</v>
      </c>
    </row>
    <row r="23" spans="2:8" ht="14.1" customHeight="1">
      <c r="B23" s="1543">
        <v>44621</v>
      </c>
      <c r="C23" s="1553"/>
      <c r="D23" s="1552"/>
      <c r="E23" s="1549"/>
      <c r="F23" s="1550">
        <f>C23*VLOOKUP(SAS_RA0_DataFim,Índices!$B$6:$F$50000,5,0)/VLOOKUP(DATE(YEAR($B23),MONTH($B23)-1,1),Índices!$B$6:$F$50000,5,0)</f>
        <v>0</v>
      </c>
      <c r="G23" s="1550">
        <f>D23*VLOOKUP(SAS_RA0_DataFim,Índices!$B$6:$F$50000,5,0)/VLOOKUP(DATE(YEAR($B23),MONTH($B23)-1,1),Índices!$B$6:$F$50000,5,0)</f>
        <v>0</v>
      </c>
      <c r="H23" s="1550">
        <f>E23*VLOOKUP(SAS_RA0_DataFim,Índices!$B$6:$F$50000,5,0)/VLOOKUP(DATE(YEAR($B23),MONTH($B23)-1,1),Índices!$B$6:$F$50000,5,0)</f>
        <v>0</v>
      </c>
    </row>
    <row r="24" spans="2:8" ht="14.1" customHeight="1">
      <c r="B24" s="1543">
        <v>44652</v>
      </c>
      <c r="C24" s="1553"/>
      <c r="D24" s="1552"/>
      <c r="E24" s="1549"/>
      <c r="F24" s="1550">
        <f>C24*VLOOKUP(SAS_RA0_DataFim,Índices!$B$6:$F$50000,5,0)/VLOOKUP(DATE(YEAR($B24),MONTH($B24)-1,1),Índices!$B$6:$F$50000,5,0)</f>
        <v>0</v>
      </c>
      <c r="G24" s="1550">
        <f>D24*VLOOKUP(SAS_RA0_DataFim,Índices!$B$6:$F$50000,5,0)/VLOOKUP(DATE(YEAR($B24),MONTH($B24)-1,1),Índices!$B$6:$F$50000,5,0)</f>
        <v>0</v>
      </c>
      <c r="H24" s="1550">
        <f>E24*VLOOKUP(SAS_RA0_DataFim,Índices!$B$6:$F$50000,5,0)/VLOOKUP(DATE(YEAR($B24),MONTH($B24)-1,1),Índices!$B$6:$F$50000,5,0)</f>
        <v>0</v>
      </c>
    </row>
    <row r="25" spans="2:8" ht="14.1" customHeight="1">
      <c r="B25" s="1543">
        <v>44682</v>
      </c>
      <c r="C25" s="1553"/>
      <c r="D25" s="1552"/>
      <c r="E25" s="1549"/>
      <c r="F25" s="1550">
        <f>C25*VLOOKUP(SAS_RA0_DataFim,Índices!$B$6:$F$50000,5,0)/VLOOKUP(DATE(YEAR($B25),MONTH($B25)-1,1),Índices!$B$6:$F$50000,5,0)</f>
        <v>0</v>
      </c>
      <c r="G25" s="1550">
        <f>D25*VLOOKUP(SAS_RA0_DataFim,Índices!$B$6:$F$50000,5,0)/VLOOKUP(DATE(YEAR($B25),MONTH($B25)-1,1),Índices!$B$6:$F$50000,5,0)</f>
        <v>0</v>
      </c>
      <c r="H25" s="1550">
        <f>E25*VLOOKUP(SAS_RA0_DataFim,Índices!$B$6:$F$50000,5,0)/VLOOKUP(DATE(YEAR($B25),MONTH($B25)-1,1),Índices!$B$6:$F$50000,5,0)</f>
        <v>0</v>
      </c>
    </row>
    <row r="26" spans="2:8" ht="14.1" customHeight="1">
      <c r="B26" s="1543">
        <v>44713</v>
      </c>
      <c r="C26" s="1553"/>
      <c r="D26" s="1552"/>
      <c r="E26" s="1549"/>
      <c r="F26" s="1550">
        <f>C26*VLOOKUP(SAS_RA0_DataFim,Índices!$B$6:$F$50000,5,0)/VLOOKUP(DATE(YEAR($B26),MONTH($B26)-1,1),Índices!$B$6:$F$50000,5,0)</f>
        <v>0</v>
      </c>
      <c r="G26" s="1550">
        <f>D26*VLOOKUP(SAS_RA0_DataFim,Índices!$B$6:$F$50000,5,0)/VLOOKUP(DATE(YEAR($B26),MONTH($B26)-1,1),Índices!$B$6:$F$50000,5,0)</f>
        <v>0</v>
      </c>
      <c r="H26" s="1550">
        <f>E26*VLOOKUP(SAS_RA0_DataFim,Índices!$B$6:$F$50000,5,0)/VLOOKUP(DATE(YEAR($B26),MONTH($B26)-1,1),Índices!$B$6:$F$50000,5,0)</f>
        <v>0</v>
      </c>
    </row>
    <row r="27" spans="2:8" ht="14.1" customHeight="1">
      <c r="B27" s="1554" t="s">
        <v>760</v>
      </c>
      <c r="C27" s="1555">
        <f>SUM(C9:C26)</f>
        <v>0</v>
      </c>
      <c r="D27" s="1555">
        <f t="shared" ref="D27:E27" si="0">SUM(D9:D26)</f>
        <v>0</v>
      </c>
      <c r="E27" s="1555">
        <f t="shared" si="0"/>
        <v>0</v>
      </c>
      <c r="F27" s="1555">
        <f>SUM(F9:F26)</f>
        <v>0</v>
      </c>
      <c r="G27" s="1555">
        <f t="shared" ref="G27:H27" si="1">SUM(G9:G26)</f>
        <v>0</v>
      </c>
      <c r="H27" s="1555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1" t="s">
        <v>2131</v>
      </c>
    </row>
    <row r="4" spans="1:15">
      <c r="B4" s="1483" t="s">
        <v>2120</v>
      </c>
      <c r="C4" s="1485" t="s">
        <v>2121</v>
      </c>
      <c r="D4" s="1484" t="s">
        <v>2122</v>
      </c>
      <c r="E4" s="1489"/>
      <c r="F4" s="1489"/>
      <c r="G4" s="1489"/>
      <c r="N4" t="s">
        <v>34</v>
      </c>
      <c r="O4" t="s">
        <v>2123</v>
      </c>
    </row>
    <row r="5" spans="1:15">
      <c r="A5" s="797" t="s">
        <v>2073</v>
      </c>
      <c r="B5" s="846" t="s">
        <v>2129</v>
      </c>
      <c r="C5" s="1492">
        <f>IFERROR(VLOOKUP(A5,Escassez[#All],2,FALSE),0)</f>
        <v>0</v>
      </c>
      <c r="D5" s="1492" t="e">
        <f>C5/$C$8*$D$8</f>
        <v>#DIV/0!</v>
      </c>
      <c r="E5" s="1490"/>
      <c r="F5" s="1488"/>
      <c r="G5" s="1479"/>
      <c r="N5" s="8">
        <v>44690</v>
      </c>
      <c r="O5" s="232">
        <f>C8</f>
        <v>0</v>
      </c>
    </row>
    <row r="6" spans="1:15">
      <c r="A6" s="1467" t="s">
        <v>2074</v>
      </c>
      <c r="B6" s="846" t="s">
        <v>2130</v>
      </c>
      <c r="C6" s="1492">
        <f>IFERROR(VLOOKUP(A6,Escassez[#All],2,FALSE),0)</f>
        <v>0</v>
      </c>
      <c r="D6" s="1492" t="e">
        <f>C6/$C$8*$D$8</f>
        <v>#DIV/0!</v>
      </c>
      <c r="E6" s="1490"/>
      <c r="F6" s="1488"/>
      <c r="G6" s="1479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7" t="s">
        <v>2075</v>
      </c>
      <c r="B7" s="846" t="s">
        <v>105</v>
      </c>
      <c r="C7" s="1492">
        <f>IFERROR(VLOOKUP(A7,Escassez[#All],2,FALSE),0)</f>
        <v>0</v>
      </c>
      <c r="D7" s="1492" t="e">
        <f>C7/$C$8*$D$8</f>
        <v>#DIV/0!</v>
      </c>
      <c r="E7" s="1490"/>
      <c r="F7" s="1488"/>
      <c r="G7" s="1479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6"/>
      <c r="C8" s="1493">
        <f>SUM(C5:C7)</f>
        <v>0</v>
      </c>
      <c r="D8" s="1493">
        <f>VLOOKUP(DataRevRea,'Financeiros Mitigação'!N4:O241,2,FALSE)</f>
        <v>0</v>
      </c>
      <c r="E8" s="846"/>
      <c r="F8" s="1480"/>
      <c r="G8" s="1480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8"/>
      <c r="C10" s="1498"/>
      <c r="D10" s="1498"/>
      <c r="E10" s="1498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4" t="s">
        <v>1306</v>
      </c>
      <c r="C12" s="1487"/>
      <c r="D12" s="1495"/>
      <c r="E12" s="1477"/>
      <c r="F12" s="1477"/>
      <c r="G12" s="1477"/>
      <c r="H12" s="1477"/>
      <c r="I12" s="1477"/>
      <c r="J12" s="1477"/>
      <c r="K12" s="1477"/>
      <c r="L12" s="1477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6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7"/>
      <c r="C14" s="1498"/>
      <c r="D14" s="1498"/>
      <c r="E14" s="1499"/>
      <c r="F14" s="1500"/>
      <c r="G14" s="1479"/>
      <c r="H14" s="1479"/>
      <c r="I14" s="1479"/>
      <c r="J14" s="1479"/>
      <c r="K14" s="1479"/>
      <c r="L14" s="1479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7"/>
      <c r="C15" s="1498"/>
      <c r="D15" s="1498"/>
      <c r="E15" s="1499"/>
      <c r="F15" s="1500"/>
      <c r="G15" s="1479"/>
      <c r="H15" s="1479"/>
      <c r="I15" s="1479"/>
      <c r="J15" s="1479"/>
      <c r="K15" s="1479"/>
      <c r="L15" s="1479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7"/>
      <c r="C16" s="1498"/>
      <c r="D16" s="1498"/>
      <c r="E16" s="1499"/>
      <c r="F16" s="1500"/>
      <c r="G16" s="1479"/>
      <c r="H16" s="1479"/>
      <c r="I16" s="1479"/>
      <c r="J16" s="1479"/>
      <c r="K16" s="1479"/>
      <c r="L16" s="1479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7"/>
      <c r="C17" s="1498"/>
      <c r="D17" s="1498"/>
      <c r="E17" s="1499"/>
      <c r="F17" s="1500"/>
      <c r="G17" s="1479"/>
      <c r="H17" s="1479"/>
      <c r="I17" s="1479"/>
      <c r="J17" s="1479"/>
      <c r="K17" s="1479"/>
      <c r="L17" s="1479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7"/>
      <c r="C18" s="1498"/>
      <c r="D18" s="1498"/>
      <c r="E18" s="1499"/>
      <c r="F18" s="1500"/>
      <c r="G18" s="1479"/>
      <c r="H18" s="1479"/>
      <c r="I18" s="1479"/>
      <c r="J18" s="1479"/>
      <c r="K18" s="1479"/>
      <c r="L18" s="1479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7"/>
      <c r="C19" s="1498"/>
      <c r="D19" s="1498"/>
      <c r="E19" s="1498"/>
      <c r="F19" s="1500"/>
      <c r="G19" s="1479"/>
      <c r="H19" s="1479"/>
      <c r="I19" s="1479"/>
      <c r="J19" s="1479"/>
      <c r="K19" s="1479"/>
      <c r="L19" s="1479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7"/>
      <c r="C20" s="1498"/>
      <c r="D20" s="1498"/>
      <c r="E20" s="1498"/>
      <c r="F20" s="1500"/>
      <c r="G20" s="1479"/>
      <c r="H20" s="1479"/>
      <c r="I20" s="1479"/>
      <c r="J20" s="1479"/>
      <c r="K20" s="1479"/>
      <c r="L20" s="1479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7"/>
      <c r="C21" s="1498"/>
      <c r="D21" s="1498"/>
      <c r="E21" s="1498"/>
      <c r="F21" s="1500"/>
      <c r="G21" s="1479"/>
      <c r="H21" s="1479"/>
      <c r="I21" s="1479"/>
      <c r="J21" s="1479"/>
      <c r="K21" s="1479"/>
      <c r="L21" s="1479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7"/>
      <c r="C22" s="1498"/>
      <c r="D22" s="1498"/>
      <c r="E22" s="1498"/>
      <c r="F22" s="1500"/>
      <c r="G22" s="1479"/>
      <c r="H22" s="1479"/>
      <c r="I22" s="1479"/>
      <c r="J22" s="1479"/>
      <c r="K22" s="1479"/>
      <c r="L22" s="1479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7"/>
      <c r="C23" s="1498"/>
      <c r="D23" s="1498"/>
      <c r="E23" s="1498"/>
      <c r="F23" s="1500"/>
      <c r="G23" s="1479"/>
      <c r="H23" s="1479"/>
      <c r="I23" s="1479"/>
      <c r="J23" s="1479"/>
      <c r="K23" s="1479"/>
      <c r="L23" s="1479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7"/>
      <c r="C24" s="1498"/>
      <c r="D24" s="1498"/>
      <c r="E24" s="1498"/>
      <c r="F24" s="1500"/>
      <c r="G24" s="1479"/>
      <c r="H24" s="1479"/>
      <c r="I24" s="1479"/>
      <c r="J24" s="1479"/>
      <c r="K24" s="1479"/>
      <c r="L24" s="1479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1"/>
      <c r="C25" s="1498"/>
      <c r="D25" s="1498"/>
      <c r="E25" s="1502"/>
      <c r="F25" s="1500"/>
      <c r="G25" s="1479"/>
      <c r="H25" s="1479"/>
      <c r="I25" s="1479"/>
      <c r="J25" s="1479"/>
      <c r="K25" s="1479"/>
      <c r="L25" s="1479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3"/>
      <c r="C26" s="846"/>
      <c r="D26" s="846"/>
      <c r="E26" s="846"/>
      <c r="F26" s="1480"/>
      <c r="G26" s="1480"/>
      <c r="H26" s="1480"/>
      <c r="I26" s="1480"/>
      <c r="J26" s="1480"/>
      <c r="K26" s="1480"/>
      <c r="L26" s="1480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/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1308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5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5" t="s">
        <v>874</v>
      </c>
    </row>
    <row r="8" spans="1:18" ht="27.95" customHeight="1">
      <c r="B8" s="876" t="s">
        <v>778</v>
      </c>
      <c r="C8" s="876" t="s">
        <v>1309</v>
      </c>
      <c r="D8" s="876" t="s">
        <v>1310</v>
      </c>
      <c r="E8" s="1516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6" t="s">
        <v>1311</v>
      </c>
      <c r="C9" s="1317"/>
      <c r="D9" s="1317"/>
      <c r="E9" s="1523"/>
      <c r="F9" s="862"/>
      <c r="G9" s="436"/>
      <c r="H9" s="1318" t="s">
        <v>1312</v>
      </c>
      <c r="I9" s="1566"/>
      <c r="R9" s="1315" t="s">
        <v>874</v>
      </c>
    </row>
    <row r="10" spans="1:18" ht="14.45" customHeight="1">
      <c r="B10" s="878" t="s">
        <v>41</v>
      </c>
      <c r="C10" s="879"/>
      <c r="D10" s="879"/>
      <c r="E10" s="1523"/>
      <c r="F10" s="862"/>
      <c r="G10" s="436"/>
      <c r="H10" s="880" t="s">
        <v>1313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1314</v>
      </c>
      <c r="C11" s="879"/>
      <c r="D11" s="879"/>
      <c r="E11" s="1523"/>
      <c r="F11" s="862"/>
      <c r="G11" s="862"/>
      <c r="H11" s="880" t="s">
        <v>1315</v>
      </c>
      <c r="I11" s="1565"/>
      <c r="R11" s="1315" t="s">
        <v>874</v>
      </c>
    </row>
    <row r="12" spans="1:18" ht="14.45" customHeight="1">
      <c r="B12" s="878" t="s">
        <v>635</v>
      </c>
      <c r="C12" s="879"/>
      <c r="D12" s="879"/>
      <c r="E12" s="1523"/>
      <c r="F12" s="862"/>
      <c r="G12" s="436"/>
      <c r="H12" s="880" t="s">
        <v>1316</v>
      </c>
      <c r="I12" s="1565"/>
      <c r="R12" s="890" t="e">
        <f>DATE(YEAR(R14),MONTH(R14)-1,1)</f>
        <v>#NUM!</v>
      </c>
    </row>
    <row r="13" spans="1:18" ht="14.45" customHeight="1">
      <c r="B13" s="878" t="s">
        <v>1317</v>
      </c>
      <c r="C13" s="879"/>
      <c r="D13" s="879"/>
      <c r="E13" s="1523"/>
      <c r="F13" s="862"/>
      <c r="G13" s="436"/>
      <c r="H13" s="880" t="s">
        <v>1318</v>
      </c>
      <c r="I13" s="1319"/>
      <c r="R13" s="1315" t="s">
        <v>874</v>
      </c>
    </row>
    <row r="14" spans="1:18" ht="14.45" customHeight="1">
      <c r="B14" s="878" t="s">
        <v>112</v>
      </c>
      <c r="C14" s="879"/>
      <c r="D14" s="879"/>
      <c r="E14" s="1523"/>
      <c r="F14" s="862"/>
      <c r="G14" s="436"/>
      <c r="H14" s="1318" t="s">
        <v>1319</v>
      </c>
      <c r="I14" s="1567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1320</v>
      </c>
      <c r="C15" s="879"/>
      <c r="D15" s="879"/>
      <c r="E15" s="1523"/>
      <c r="F15" s="862"/>
      <c r="G15" s="436"/>
      <c r="H15" s="1320" t="s">
        <v>1321</v>
      </c>
      <c r="I15" s="1321">
        <f>-Indexador!$N$49</f>
        <v>0</v>
      </c>
      <c r="J15" s="862"/>
      <c r="K15" s="862"/>
      <c r="R15" s="1315" t="s">
        <v>874</v>
      </c>
    </row>
    <row r="16" spans="1:18" ht="14.45" customHeight="1">
      <c r="B16" s="878" t="s">
        <v>109</v>
      </c>
      <c r="C16" s="879"/>
      <c r="D16" s="879"/>
      <c r="E16" s="1523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23"/>
      <c r="F17" s="862"/>
      <c r="G17" s="436"/>
      <c r="H17" s="862"/>
      <c r="I17" s="862"/>
      <c r="J17" s="862"/>
      <c r="K17" s="862"/>
      <c r="R17" s="1315" t="s">
        <v>874</v>
      </c>
    </row>
    <row r="18" spans="1:18" ht="14.45" customHeight="1">
      <c r="B18" s="882" t="s">
        <v>769</v>
      </c>
      <c r="C18" s="883">
        <f>SUM(C9:C17)</f>
        <v>0</v>
      </c>
      <c r="D18" s="883">
        <f t="shared" ref="D18" si="0">SUM(D9:D17)</f>
        <v>0</v>
      </c>
      <c r="E18" s="1524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5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8"/>
      <c r="B21" s="1509"/>
      <c r="C21" s="1510"/>
      <c r="D21" s="1510"/>
      <c r="E21" s="1510"/>
      <c r="F21" s="1509"/>
      <c r="G21" s="1509"/>
      <c r="H21" s="1511"/>
      <c r="R21" s="1315" t="s">
        <v>874</v>
      </c>
    </row>
    <row r="22" spans="1:18" ht="14.45" customHeight="1">
      <c r="A22" s="1512"/>
      <c r="B22" s="1513"/>
      <c r="C22" s="1514"/>
      <c r="D22" s="1514"/>
      <c r="E22" s="1514"/>
      <c r="F22" s="1515"/>
      <c r="G22" s="1515"/>
      <c r="H22" s="1512"/>
      <c r="R22" s="890" t="e">
        <f>DATE(YEAR(R24),MONTH(R24)-1,1)</f>
        <v>#NUM!</v>
      </c>
    </row>
    <row r="23" spans="1:18" ht="42" customHeight="1">
      <c r="A23" s="1512"/>
      <c r="B23" s="1516"/>
      <c r="C23" s="1516"/>
      <c r="D23" s="1516"/>
      <c r="E23" s="1516"/>
      <c r="F23" s="1516"/>
      <c r="G23" s="1516"/>
      <c r="H23" s="1512"/>
      <c r="R23" s="1315" t="s">
        <v>874</v>
      </c>
    </row>
    <row r="24" spans="1:18" ht="14.45" customHeight="1">
      <c r="A24" s="1512"/>
      <c r="B24" s="878"/>
      <c r="C24" s="885"/>
      <c r="D24" s="1504"/>
      <c r="E24" s="885"/>
      <c r="F24" s="886"/>
      <c r="G24" s="886"/>
      <c r="H24" s="1517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2"/>
      <c r="B25" s="878"/>
      <c r="C25" s="885"/>
      <c r="D25" s="1505"/>
      <c r="E25" s="885"/>
      <c r="F25" s="886"/>
      <c r="G25" s="893"/>
      <c r="H25" s="1517"/>
      <c r="I25" s="884"/>
      <c r="J25" s="884"/>
      <c r="K25" s="877"/>
      <c r="R25" s="1315" t="s">
        <v>874</v>
      </c>
    </row>
    <row r="26" spans="1:18" ht="14.45" customHeight="1">
      <c r="A26" s="1512"/>
      <c r="B26" s="878"/>
      <c r="C26" s="885"/>
      <c r="D26" s="1505"/>
      <c r="E26" s="885"/>
      <c r="F26" s="886"/>
      <c r="G26" s="893"/>
      <c r="H26" s="1517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2"/>
      <c r="B27" s="878"/>
      <c r="C27" s="885"/>
      <c r="D27" s="1505"/>
      <c r="E27" s="885"/>
      <c r="F27" s="886"/>
      <c r="G27" s="893"/>
      <c r="H27" s="1517"/>
      <c r="I27" s="886"/>
      <c r="J27" s="886"/>
      <c r="K27" s="877"/>
      <c r="R27" s="1315" t="s">
        <v>874</v>
      </c>
    </row>
    <row r="28" spans="1:18" ht="14.45" customHeight="1">
      <c r="A28" s="1512"/>
      <c r="B28" s="878"/>
      <c r="C28" s="885"/>
      <c r="D28" s="1505"/>
      <c r="E28" s="885"/>
      <c r="F28" s="886"/>
      <c r="G28" s="893"/>
      <c r="H28" s="1517"/>
      <c r="I28" s="886"/>
      <c r="J28" s="886"/>
      <c r="K28" s="877"/>
      <c r="R28" s="890">
        <f>B65</f>
        <v>0</v>
      </c>
    </row>
    <row r="29" spans="1:18" ht="14.45" customHeight="1">
      <c r="A29" s="1512"/>
      <c r="B29" s="878"/>
      <c r="C29" s="885"/>
      <c r="D29" s="1505"/>
      <c r="E29" s="885"/>
      <c r="F29" s="886"/>
      <c r="G29" s="893"/>
      <c r="H29" s="1517"/>
      <c r="I29" s="886"/>
      <c r="J29" s="886"/>
      <c r="K29" s="877"/>
    </row>
    <row r="30" spans="1:18" ht="14.45" customHeight="1">
      <c r="A30" s="1512"/>
      <c r="B30" s="878"/>
      <c r="C30" s="885"/>
      <c r="D30" s="1505"/>
      <c r="E30" s="885"/>
      <c r="F30" s="886"/>
      <c r="G30" s="893"/>
      <c r="H30" s="1515"/>
      <c r="I30" s="886"/>
      <c r="J30" s="886"/>
      <c r="K30" s="877"/>
    </row>
    <row r="31" spans="1:18" ht="14.45" customHeight="1">
      <c r="A31" s="1512"/>
      <c r="B31" s="878"/>
      <c r="C31" s="885"/>
      <c r="D31" s="1505"/>
      <c r="E31" s="885"/>
      <c r="F31" s="886"/>
      <c r="G31" s="893"/>
      <c r="H31" s="1512"/>
      <c r="I31" s="886"/>
      <c r="J31" s="886"/>
      <c r="K31" s="862"/>
    </row>
    <row r="32" spans="1:18" ht="14.45" customHeight="1">
      <c r="A32" s="1512"/>
      <c r="B32" s="878"/>
      <c r="C32" s="885"/>
      <c r="D32" s="1505"/>
      <c r="E32" s="885"/>
      <c r="F32" s="886"/>
      <c r="G32" s="893"/>
      <c r="H32" s="1512"/>
      <c r="I32" s="886"/>
      <c r="J32" s="886"/>
      <c r="K32" s="862"/>
    </row>
    <row r="33" spans="1:11" ht="14.45" customHeight="1">
      <c r="A33" s="1512"/>
      <c r="B33" s="1518"/>
      <c r="C33" s="1519"/>
      <c r="D33" s="1519"/>
      <c r="E33" s="1519"/>
      <c r="F33" s="1520"/>
      <c r="G33" s="1520"/>
      <c r="H33" s="1512"/>
      <c r="I33" s="891"/>
      <c r="J33" s="891"/>
      <c r="K33" s="862"/>
    </row>
    <row r="34" spans="1:11" ht="14.45" customHeight="1">
      <c r="A34" s="1512"/>
      <c r="B34" s="1515"/>
      <c r="C34" s="1521"/>
      <c r="D34" s="1514"/>
      <c r="E34" s="1514"/>
      <c r="F34" s="1515"/>
      <c r="G34" s="1515"/>
      <c r="H34" s="1512"/>
      <c r="K34" s="862"/>
    </row>
    <row r="35" spans="1:11" ht="14.45" customHeight="1">
      <c r="A35" s="1512"/>
      <c r="B35" s="1515"/>
      <c r="C35" s="1514"/>
      <c r="D35" s="1514"/>
      <c r="E35" s="1514"/>
      <c r="F35" s="436"/>
      <c r="G35" s="1515"/>
      <c r="H35" s="1512"/>
      <c r="K35" s="862"/>
    </row>
    <row r="36" spans="1:11" ht="14.45" customHeight="1">
      <c r="A36" s="1512"/>
      <c r="B36" s="1513"/>
      <c r="C36" s="1521"/>
      <c r="D36" s="1514"/>
      <c r="E36" s="1514"/>
      <c r="F36" s="1515"/>
      <c r="G36" s="1522"/>
      <c r="H36" s="1512"/>
      <c r="K36" s="862"/>
    </row>
    <row r="37" spans="1:11" ht="43.5" customHeight="1">
      <c r="A37" s="1512"/>
      <c r="B37" s="1516"/>
      <c r="C37" s="1516"/>
      <c r="D37" s="1516"/>
      <c r="E37" s="887"/>
      <c r="F37" s="436"/>
      <c r="G37" s="1515"/>
      <c r="H37" s="1515"/>
      <c r="I37" s="862"/>
      <c r="J37" s="862"/>
      <c r="K37" s="862"/>
    </row>
    <row r="38" spans="1:11" ht="14.45" customHeight="1">
      <c r="A38" s="1512"/>
      <c r="B38" s="878"/>
      <c r="C38" s="1514"/>
      <c r="D38" s="887"/>
      <c r="E38" s="887"/>
      <c r="F38" s="436"/>
      <c r="G38" s="1515"/>
      <c r="H38" s="1515"/>
      <c r="I38" s="862"/>
      <c r="J38" s="862"/>
      <c r="K38" s="862"/>
    </row>
    <row r="39" spans="1:11" ht="14.45" customHeight="1">
      <c r="A39" s="1512"/>
      <c r="B39" s="878"/>
      <c r="C39" s="1514"/>
      <c r="D39" s="1506"/>
      <c r="E39" s="887"/>
      <c r="F39" s="436"/>
      <c r="G39" s="436"/>
      <c r="H39" s="1515"/>
      <c r="I39" s="862"/>
      <c r="J39" s="862"/>
      <c r="K39" s="862"/>
    </row>
    <row r="40" spans="1:11" ht="14.45" customHeight="1">
      <c r="A40" s="1512"/>
      <c r="B40" s="878"/>
      <c r="C40" s="887"/>
      <c r="D40" s="1506"/>
      <c r="E40" s="887"/>
      <c r="F40" s="436"/>
      <c r="G40" s="1515"/>
      <c r="H40" s="1515"/>
      <c r="I40" s="862"/>
      <c r="J40" s="862"/>
      <c r="K40" s="862"/>
    </row>
    <row r="41" spans="1:11" ht="14.45" customHeight="1">
      <c r="A41" s="1512"/>
      <c r="B41" s="878"/>
      <c r="C41" s="887"/>
      <c r="D41" s="1506"/>
      <c r="E41" s="887"/>
      <c r="F41" s="436"/>
      <c r="G41" s="1515"/>
      <c r="H41" s="1515"/>
      <c r="I41" s="862"/>
      <c r="J41" s="862"/>
      <c r="K41" s="862"/>
    </row>
    <row r="42" spans="1:11" ht="14.45" customHeight="1">
      <c r="A42" s="1512"/>
      <c r="B42" s="878"/>
      <c r="C42" s="1507"/>
      <c r="D42" s="1506"/>
      <c r="E42" s="887"/>
      <c r="F42" s="436"/>
      <c r="G42" s="1515"/>
      <c r="H42" s="1515"/>
      <c r="I42" s="862"/>
      <c r="J42" s="862"/>
      <c r="K42" s="862"/>
    </row>
    <row r="43" spans="1:11" ht="14.45" customHeight="1">
      <c r="A43" s="1512"/>
      <c r="B43" s="878"/>
      <c r="C43" s="887"/>
      <c r="D43" s="887"/>
      <c r="E43" s="887"/>
      <c r="F43" s="436"/>
      <c r="G43" s="1515"/>
      <c r="H43" s="1515"/>
      <c r="I43" s="862"/>
      <c r="J43" s="862"/>
      <c r="K43" s="862"/>
    </row>
    <row r="44" spans="1:11" ht="14.45" customHeight="1">
      <c r="A44" s="1512"/>
      <c r="B44" s="878"/>
      <c r="C44" s="887"/>
      <c r="D44" s="887"/>
      <c r="E44" s="887"/>
      <c r="F44" s="436"/>
      <c r="G44" s="1515"/>
      <c r="H44" s="1515"/>
      <c r="I44" s="862"/>
      <c r="J44" s="862"/>
      <c r="K44" s="862"/>
    </row>
    <row r="45" spans="1:11" ht="14.45" customHeight="1">
      <c r="A45" s="1512"/>
      <c r="B45" s="878"/>
      <c r="C45" s="887"/>
      <c r="D45" s="887"/>
      <c r="E45" s="887"/>
      <c r="F45" s="436"/>
      <c r="G45" s="1515"/>
      <c r="H45" s="1515"/>
      <c r="I45" s="862"/>
      <c r="J45" s="862"/>
      <c r="K45" s="862"/>
    </row>
    <row r="46" spans="1:11" ht="14.45" customHeight="1">
      <c r="A46" s="1512"/>
      <c r="B46" s="878"/>
      <c r="C46" s="887"/>
      <c r="D46" s="887"/>
      <c r="E46" s="887"/>
      <c r="F46" s="436"/>
      <c r="G46" s="1515"/>
      <c r="H46" s="1515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2"/>
      <c r="AD52" s="1512"/>
    </row>
    <row r="53" spans="2:30" ht="15" customHeight="1">
      <c r="B53" s="1569"/>
      <c r="C53" s="1569"/>
      <c r="D53" s="1569"/>
      <c r="E53" s="1569"/>
      <c r="F53" s="1569"/>
      <c r="G53" s="1569"/>
      <c r="H53" s="1569"/>
      <c r="I53" s="1569"/>
      <c r="J53" s="1569"/>
      <c r="K53" s="1569"/>
      <c r="L53" s="1569"/>
      <c r="M53" s="1569"/>
      <c r="N53" s="1569"/>
      <c r="O53" s="1569"/>
      <c r="P53" s="1569"/>
      <c r="Q53" s="1569"/>
      <c r="R53" s="1569"/>
      <c r="S53" s="1569"/>
      <c r="T53" s="1569"/>
      <c r="U53" s="1569"/>
      <c r="V53" s="1569"/>
      <c r="W53" s="1569"/>
      <c r="X53" s="1569"/>
      <c r="Y53" s="1569"/>
      <c r="Z53" s="1569"/>
      <c r="AA53" s="1569"/>
      <c r="AB53" s="1569"/>
      <c r="AC53" s="1512"/>
      <c r="AD53" s="1512"/>
    </row>
    <row r="54" spans="2:30" ht="15" customHeight="1">
      <c r="B54" s="1570"/>
      <c r="C54" s="1568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1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2"/>
      <c r="AD54" s="1512"/>
    </row>
    <row r="55" spans="2:30" ht="15" customHeight="1">
      <c r="B55" s="1570"/>
      <c r="C55" s="1568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1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2"/>
      <c r="AD55" s="1512"/>
    </row>
    <row r="56" spans="2:30" ht="15" customHeight="1">
      <c r="B56" s="1570"/>
      <c r="C56" s="1568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1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2"/>
      <c r="AD56" s="1512"/>
    </row>
    <row r="57" spans="2:30" ht="15" customHeight="1">
      <c r="B57" s="1570"/>
      <c r="C57" s="1568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1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2"/>
      <c r="AD57" s="1512"/>
    </row>
    <row r="58" spans="2:30" ht="15" customHeight="1">
      <c r="B58" s="1570"/>
      <c r="C58" s="1568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1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2"/>
      <c r="AD58" s="1512"/>
    </row>
    <row r="59" spans="2:30" ht="15" customHeight="1">
      <c r="B59" s="1570"/>
      <c r="C59" s="1568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1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2"/>
      <c r="AD59" s="1512"/>
    </row>
    <row r="60" spans="2:30" ht="15" customHeight="1">
      <c r="B60" s="1570"/>
      <c r="C60" s="1568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1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2"/>
      <c r="AD60" s="1512"/>
    </row>
    <row r="61" spans="2:30" ht="15" customHeight="1">
      <c r="B61" s="1570"/>
      <c r="C61" s="1568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1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2"/>
      <c r="AD61" s="1512"/>
    </row>
    <row r="62" spans="2:30" ht="15" customHeight="1">
      <c r="B62" s="1570"/>
      <c r="C62" s="1568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1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2"/>
      <c r="AD62" s="1512"/>
    </row>
    <row r="63" spans="2:30" ht="15" customHeight="1">
      <c r="B63" s="1570"/>
      <c r="C63" s="1568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1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2"/>
      <c r="AD63" s="1512"/>
    </row>
    <row r="64" spans="2:30" ht="15" customHeight="1">
      <c r="B64" s="1570"/>
      <c r="C64" s="1568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1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2"/>
      <c r="AD64" s="1512"/>
    </row>
    <row r="65" spans="2:30" ht="15" customHeight="1">
      <c r="B65" s="1570"/>
      <c r="C65" s="1568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1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2"/>
      <c r="AD65" s="1512"/>
    </row>
    <row r="66" spans="2:30" ht="15" customHeight="1">
      <c r="B66" s="1460"/>
      <c r="C66" s="1572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2"/>
      <c r="AD66" s="1512"/>
    </row>
    <row r="67" spans="2:30" ht="15" customHeight="1">
      <c r="B67" s="1573"/>
      <c r="C67" s="1573"/>
      <c r="D67" s="1520"/>
      <c r="E67" s="1520"/>
      <c r="F67" s="1520"/>
      <c r="G67" s="1520"/>
      <c r="H67" s="1520"/>
      <c r="I67" s="1520"/>
      <c r="J67" s="1520"/>
      <c r="K67" s="1520"/>
      <c r="L67" s="1520"/>
      <c r="M67" s="1520"/>
      <c r="N67" s="1520"/>
      <c r="O67" s="1520"/>
      <c r="P67" s="1520"/>
      <c r="Q67" s="1520"/>
      <c r="R67" s="1520"/>
      <c r="S67" s="1520"/>
      <c r="T67" s="1520"/>
      <c r="U67" s="1520"/>
      <c r="V67" s="1520"/>
      <c r="W67" s="1520"/>
      <c r="X67" s="1520"/>
      <c r="Y67" s="1520"/>
      <c r="Z67" s="1520"/>
      <c r="AA67" s="1520"/>
      <c r="AB67" s="1520"/>
      <c r="AC67" s="1512"/>
      <c r="AD67" s="1512"/>
    </row>
    <row r="68" spans="2:30" ht="15" customHeight="1">
      <c r="B68" s="1512"/>
      <c r="C68" s="1574"/>
      <c r="D68" s="1574"/>
      <c r="E68" s="1574"/>
      <c r="F68" s="1512"/>
      <c r="G68" s="1512"/>
      <c r="H68" s="1512"/>
      <c r="I68" s="1512"/>
      <c r="J68" s="1512"/>
      <c r="K68" s="1512"/>
      <c r="L68" s="1512"/>
      <c r="M68" s="1512"/>
      <c r="N68" s="1512"/>
      <c r="O68" s="1512"/>
      <c r="P68" s="1512"/>
      <c r="Q68" s="1512"/>
      <c r="R68" s="1512"/>
      <c r="S68" s="1512"/>
      <c r="T68" s="1512"/>
      <c r="U68" s="1512"/>
      <c r="V68" s="1512"/>
      <c r="W68" s="1512"/>
      <c r="X68" s="1512"/>
      <c r="Y68" s="1512"/>
      <c r="Z68" s="1512"/>
      <c r="AA68" s="1512"/>
      <c r="AB68" s="1512"/>
      <c r="AC68" s="1512"/>
      <c r="AD68" s="1512"/>
    </row>
    <row r="69" spans="2:30" ht="15" customHeight="1">
      <c r="B69" s="1512"/>
      <c r="C69" s="1574"/>
      <c r="D69" s="1574"/>
      <c r="E69" s="1574"/>
      <c r="F69" s="1512"/>
      <c r="G69" s="1512"/>
      <c r="H69" s="1512"/>
      <c r="I69" s="1512"/>
      <c r="J69" s="1512"/>
      <c r="K69" s="1512"/>
      <c r="L69" s="1512"/>
      <c r="M69" s="1512"/>
      <c r="N69" s="1512"/>
      <c r="O69" s="1512"/>
      <c r="P69" s="1512"/>
      <c r="Q69" s="1512"/>
      <c r="R69" s="1512"/>
      <c r="S69" s="1512"/>
      <c r="T69" s="1512"/>
      <c r="U69" s="1512"/>
      <c r="V69" s="1512"/>
      <c r="W69" s="1512"/>
      <c r="X69" s="1512"/>
      <c r="Y69" s="1512"/>
      <c r="Z69" s="1512"/>
      <c r="AA69" s="1512"/>
      <c r="AB69" s="1512"/>
      <c r="AC69" s="1512"/>
      <c r="AD69" s="1512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4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353"/>
      <c r="P2" s="353"/>
      <c r="Q2" s="353"/>
      <c r="R2" s="9"/>
      <c r="S2" s="9"/>
      <c r="T2" s="9"/>
      <c r="U2" s="9"/>
      <c r="V2" s="9"/>
    </row>
    <row r="3" spans="1:22">
      <c r="A3" s="665" t="s">
        <v>1324</v>
      </c>
      <c r="B3" s="65"/>
      <c r="C3" s="65"/>
      <c r="D3" s="65"/>
      <c r="E3" s="65"/>
      <c r="F3" s="663"/>
      <c r="G3" s="353"/>
      <c r="H3" s="353"/>
      <c r="I3" s="665" t="s">
        <v>1325</v>
      </c>
      <c r="J3" s="353"/>
      <c r="K3" s="666"/>
      <c r="L3" s="9"/>
      <c r="M3" s="9"/>
      <c r="N3" s="663"/>
      <c r="O3" s="353"/>
      <c r="P3" s="353"/>
      <c r="Q3" s="353"/>
      <c r="R3" s="9"/>
      <c r="S3" s="9"/>
      <c r="T3" s="9"/>
      <c r="U3" s="9"/>
      <c r="V3" s="9"/>
    </row>
    <row r="4" spans="1:22" ht="25.5">
      <c r="A4" s="1323" t="s">
        <v>22</v>
      </c>
      <c r="B4" s="1324"/>
      <c r="C4" s="667" t="s">
        <v>850</v>
      </c>
      <c r="D4" s="667" t="s">
        <v>1326</v>
      </c>
      <c r="E4" s="667" t="s">
        <v>1327</v>
      </c>
      <c r="F4" s="667" t="s">
        <v>8</v>
      </c>
      <c r="G4" s="668" t="s">
        <v>1328</v>
      </c>
      <c r="H4" s="353"/>
      <c r="I4" s="1323" t="s">
        <v>22</v>
      </c>
      <c r="J4" s="1323"/>
      <c r="K4" s="1323"/>
      <c r="L4" s="667" t="s">
        <v>1327</v>
      </c>
      <c r="M4" s="667" t="s">
        <v>8</v>
      </c>
      <c r="N4" s="668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5" t="s">
        <v>697</v>
      </c>
      <c r="B5" s="1326"/>
      <c r="C5" s="1327">
        <f>SUMPRODUCT(C16:Q16,$C$22:$Q$22)</f>
        <v>0</v>
      </c>
      <c r="D5" s="672">
        <f>SUMPRODUCT(C28:Q28,$C$34:$Q$34)</f>
        <v>0</v>
      </c>
      <c r="E5" s="1328">
        <f>C5-D5</f>
        <v>0</v>
      </c>
      <c r="F5" s="1329">
        <f>Resultado!M9</f>
        <v>0</v>
      </c>
      <c r="G5" s="669">
        <f>F5+E5</f>
        <v>0</v>
      </c>
      <c r="H5" s="353"/>
      <c r="I5" s="1325" t="s">
        <v>697</v>
      </c>
      <c r="J5" s="1325"/>
      <c r="K5" s="1325"/>
      <c r="L5" s="1329">
        <f t="shared" ref="L5:N10" si="0">E5/12</f>
        <v>0</v>
      </c>
      <c r="M5" s="1329">
        <f t="shared" si="0"/>
        <v>0</v>
      </c>
      <c r="N5" s="1327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0"/>
      <c r="C6" s="671">
        <f t="shared" ref="C6:C10" si="1">SUMPRODUCT(C17:Q17,$C$22:$Q$22)</f>
        <v>17539.536545788775</v>
      </c>
      <c r="D6" s="672">
        <f t="shared" ref="D6:D10" si="2">SUMPRODUCT(C29:Q29,$C$34:$Q$34)</f>
        <v>16019.484368067902</v>
      </c>
      <c r="E6" s="690">
        <f t="shared" ref="E6:E10" si="3">C6-D6</f>
        <v>1520.0521777208724</v>
      </c>
      <c r="F6" s="672">
        <f>Resultado!M10</f>
        <v>17050.837447486396</v>
      </c>
      <c r="G6" s="669">
        <f t="shared" ref="G6:G10" si="4">F6+E6</f>
        <v>18570.889625207266</v>
      </c>
      <c r="H6" s="353"/>
      <c r="I6" s="65" t="s">
        <v>699</v>
      </c>
      <c r="J6" s="65"/>
      <c r="K6" s="65"/>
      <c r="L6" s="672">
        <f t="shared" si="0"/>
        <v>126.67101481007269</v>
      </c>
      <c r="M6" s="672">
        <f t="shared" si="0"/>
        <v>1420.9031206238662</v>
      </c>
      <c r="N6" s="671">
        <f t="shared" si="0"/>
        <v>1547.5741354339389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0"/>
      <c r="C7" s="671">
        <f t="shared" si="1"/>
        <v>0</v>
      </c>
      <c r="D7" s="672">
        <f t="shared" si="2"/>
        <v>0</v>
      </c>
      <c r="E7" s="690">
        <f t="shared" si="3"/>
        <v>0</v>
      </c>
      <c r="F7" s="672">
        <f>-Financeiros!D34+Resultado!M11</f>
        <v>0</v>
      </c>
      <c r="G7" s="669">
        <f t="shared" si="4"/>
        <v>0</v>
      </c>
      <c r="H7" s="353"/>
      <c r="I7" s="65" t="s">
        <v>701</v>
      </c>
      <c r="J7" s="65"/>
      <c r="K7" s="65"/>
      <c r="L7" s="672">
        <f t="shared" si="0"/>
        <v>0</v>
      </c>
      <c r="M7" s="672">
        <f t="shared" si="0"/>
        <v>0</v>
      </c>
      <c r="N7" s="671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0"/>
      <c r="C8" s="671">
        <f t="shared" si="1"/>
        <v>102895.1442625069</v>
      </c>
      <c r="D8" s="672">
        <f t="shared" si="2"/>
        <v>106431.73103387086</v>
      </c>
      <c r="E8" s="690">
        <f t="shared" si="3"/>
        <v>-3536.58677136396</v>
      </c>
      <c r="F8" s="672">
        <f>Resultado!M12</f>
        <v>52164.675222395053</v>
      </c>
      <c r="G8" s="669">
        <f t="shared" si="4"/>
        <v>48628.088451031093</v>
      </c>
      <c r="H8" s="353"/>
      <c r="I8" s="65" t="s">
        <v>702</v>
      </c>
      <c r="J8" s="65"/>
      <c r="K8" s="65"/>
      <c r="L8" s="672">
        <f t="shared" si="0"/>
        <v>-294.71556428033</v>
      </c>
      <c r="M8" s="672">
        <f t="shared" si="0"/>
        <v>4347.0562685329214</v>
      </c>
      <c r="N8" s="671">
        <f t="shared" si="0"/>
        <v>4052.340704252591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0"/>
      <c r="C9" s="671">
        <f t="shared" si="1"/>
        <v>2615286.4411714519</v>
      </c>
      <c r="D9" s="672">
        <f t="shared" si="2"/>
        <v>2974947.1041032639</v>
      </c>
      <c r="E9" s="690">
        <f>C9-D9</f>
        <v>-359660.662931812</v>
      </c>
      <c r="F9" s="672">
        <f>Resultado!M13</f>
        <v>1326709.0770214924</v>
      </c>
      <c r="G9" s="669">
        <f t="shared" si="4"/>
        <v>967048.41408968042</v>
      </c>
      <c r="H9" s="353"/>
      <c r="I9" s="65" t="s">
        <v>705</v>
      </c>
      <c r="J9" s="65"/>
      <c r="K9" s="65"/>
      <c r="L9" s="672">
        <f t="shared" si="0"/>
        <v>-29971.721910984332</v>
      </c>
      <c r="M9" s="672">
        <f t="shared" si="0"/>
        <v>110559.08975179103</v>
      </c>
      <c r="N9" s="671">
        <f t="shared" si="0"/>
        <v>80587.367840806706</v>
      </c>
      <c r="P9" s="353"/>
      <c r="Q9" s="353"/>
      <c r="R9" s="9"/>
      <c r="S9" s="9"/>
      <c r="T9" s="9"/>
      <c r="U9" s="9"/>
      <c r="V9" s="9"/>
    </row>
    <row r="10" spans="1:22">
      <c r="A10" s="1066" t="s">
        <v>707</v>
      </c>
      <c r="B10" s="673"/>
      <c r="C10" s="671">
        <f t="shared" si="1"/>
        <v>58191.18182912367</v>
      </c>
      <c r="D10" s="672">
        <f t="shared" si="2"/>
        <v>62739.84615105018</v>
      </c>
      <c r="E10" s="1330">
        <f t="shared" si="3"/>
        <v>-4548.6643219265097</v>
      </c>
      <c r="F10" s="1331">
        <f>Resultado!M14</f>
        <v>56399.514202222475</v>
      </c>
      <c r="G10" s="669">
        <f t="shared" si="4"/>
        <v>51850.849880295966</v>
      </c>
      <c r="H10" s="353"/>
      <c r="I10" s="1066" t="s">
        <v>707</v>
      </c>
      <c r="J10" s="1066"/>
      <c r="K10" s="1066"/>
      <c r="L10" s="1331">
        <f t="shared" si="0"/>
        <v>-379.05536016054248</v>
      </c>
      <c r="M10" s="1331">
        <f t="shared" si="0"/>
        <v>4699.9595168518726</v>
      </c>
      <c r="N10" s="674">
        <f t="shared" si="0"/>
        <v>4320.9041566913302</v>
      </c>
      <c r="P10" s="353"/>
      <c r="Q10" s="353"/>
      <c r="R10" s="9"/>
      <c r="S10" s="9"/>
      <c r="T10" s="9"/>
      <c r="U10" s="9"/>
      <c r="V10" s="9"/>
    </row>
    <row r="11" spans="1:22">
      <c r="A11" s="1332" t="s">
        <v>769</v>
      </c>
      <c r="B11" s="1332"/>
      <c r="C11" s="1333">
        <f>SUM(C5:C10)</f>
        <v>2793912.3038088712</v>
      </c>
      <c r="D11" s="1333">
        <f>SUM(D5:D10)</f>
        <v>3160138.1656562528</v>
      </c>
      <c r="E11" s="1333">
        <f t="shared" ref="E11" si="5">SUM(E5:E10)</f>
        <v>-366225.86184738157</v>
      </c>
      <c r="F11" s="1333">
        <f>SUM(F5:F10)</f>
        <v>1452324.1038935964</v>
      </c>
      <c r="G11" s="1334">
        <f>SUM(G5:G10)</f>
        <v>1086098.2420462149</v>
      </c>
      <c r="H11" s="353"/>
      <c r="I11" s="1332" t="s">
        <v>769</v>
      </c>
      <c r="J11" s="1332"/>
      <c r="K11" s="1332"/>
      <c r="L11" s="1333">
        <f>SUM(L5:L10)</f>
        <v>-30518.821820615132</v>
      </c>
      <c r="M11" s="1333">
        <f>SUM(M5:M10)</f>
        <v>121027.0086577997</v>
      </c>
      <c r="N11" s="1334">
        <f>SUM(N5:N10)</f>
        <v>90508.186837184578</v>
      </c>
      <c r="P11" s="353"/>
      <c r="Q11" s="353"/>
      <c r="R11" s="9"/>
      <c r="S11" s="9"/>
      <c r="T11" s="9"/>
      <c r="U11" s="9"/>
      <c r="V11" s="9"/>
    </row>
    <row r="12" spans="1:22">
      <c r="A12" s="663"/>
      <c r="B12" s="663"/>
      <c r="C12" s="663"/>
      <c r="D12" s="663"/>
      <c r="E12" s="663"/>
      <c r="F12" s="663"/>
      <c r="G12" s="663"/>
      <c r="H12" s="663"/>
      <c r="I12" s="9"/>
      <c r="J12" s="663"/>
      <c r="K12" s="663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5" t="s">
        <v>1329</v>
      </c>
      <c r="B13" s="663"/>
      <c r="C13" s="353"/>
      <c r="D13" s="353"/>
      <c r="E13" s="353"/>
      <c r="F13" s="663"/>
      <c r="G13" s="663"/>
      <c r="H13" s="663"/>
      <c r="I13" s="663"/>
      <c r="J13" s="663"/>
      <c r="K13" s="663"/>
      <c r="L13" s="663"/>
      <c r="M13" s="663"/>
      <c r="N13" s="663"/>
      <c r="O13" s="353"/>
      <c r="P13" s="353"/>
      <c r="Q13" s="353"/>
      <c r="R13" s="9"/>
      <c r="S13" s="9"/>
      <c r="T13" s="9"/>
      <c r="U13" s="9"/>
      <c r="V13" s="9"/>
    </row>
    <row r="14" spans="1:22">
      <c r="A14" s="1836" t="s">
        <v>22</v>
      </c>
      <c r="B14" s="1837" t="s">
        <v>1330</v>
      </c>
      <c r="C14" s="353"/>
      <c r="D14" s="353"/>
      <c r="E14" s="353"/>
      <c r="F14" s="675" t="s">
        <v>874</v>
      </c>
      <c r="G14" s="675" t="s">
        <v>874</v>
      </c>
      <c r="H14" s="675" t="s">
        <v>874</v>
      </c>
      <c r="I14" s="675" t="s">
        <v>874</v>
      </c>
      <c r="J14" s="675" t="s">
        <v>874</v>
      </c>
      <c r="K14" s="675" t="s">
        <v>874</v>
      </c>
      <c r="L14" s="675" t="s">
        <v>874</v>
      </c>
      <c r="M14" s="675" t="s">
        <v>874</v>
      </c>
      <c r="N14" s="675" t="s">
        <v>874</v>
      </c>
      <c r="O14" s="675" t="s">
        <v>874</v>
      </c>
      <c r="P14" s="675" t="s">
        <v>874</v>
      </c>
      <c r="Q14" s="675" t="s">
        <v>874</v>
      </c>
      <c r="R14" s="9"/>
      <c r="S14" s="9"/>
      <c r="T14" s="9"/>
      <c r="U14" s="9"/>
      <c r="V14" s="9"/>
    </row>
    <row r="15" spans="1:22">
      <c r="A15" s="1836"/>
      <c r="B15" s="1837"/>
      <c r="C15" s="676">
        <f t="shared" ref="C15:P15" si="6">EDATE(D15,-1)</f>
        <v>44348</v>
      </c>
      <c r="D15" s="676">
        <f>EDATE(E15,-1)</f>
        <v>44378</v>
      </c>
      <c r="E15" s="676">
        <f>EDATE(F15,-1)</f>
        <v>44409</v>
      </c>
      <c r="F15" s="677">
        <f>EDATE(G15,-1)</f>
        <v>44440</v>
      </c>
      <c r="G15" s="677">
        <f t="shared" si="6"/>
        <v>44470</v>
      </c>
      <c r="H15" s="677">
        <f t="shared" si="6"/>
        <v>44501</v>
      </c>
      <c r="I15" s="677">
        <f t="shared" si="6"/>
        <v>44531</v>
      </c>
      <c r="J15" s="677">
        <f t="shared" si="6"/>
        <v>44562</v>
      </c>
      <c r="K15" s="677">
        <f t="shared" si="6"/>
        <v>44593</v>
      </c>
      <c r="L15" s="677">
        <f t="shared" si="6"/>
        <v>44621</v>
      </c>
      <c r="M15" s="677">
        <f t="shared" si="6"/>
        <v>44652</v>
      </c>
      <c r="N15" s="677">
        <f t="shared" si="6"/>
        <v>44682</v>
      </c>
      <c r="O15" s="677">
        <f t="shared" si="6"/>
        <v>44713</v>
      </c>
      <c r="P15" s="677">
        <f t="shared" si="6"/>
        <v>44743</v>
      </c>
      <c r="Q15" s="677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8" t="s">
        <v>1331</v>
      </c>
      <c r="B16" s="679" t="s">
        <v>926</v>
      </c>
      <c r="C16" s="680">
        <f>C40</f>
        <v>0</v>
      </c>
      <c r="D16" s="680">
        <f t="shared" ref="D16:E16" si="7">D40</f>
        <v>0</v>
      </c>
      <c r="E16" s="680">
        <f t="shared" si="7"/>
        <v>0</v>
      </c>
      <c r="F16" s="680">
        <f t="shared" ref="F16:Q21" si="8">DSUM(MercadoBase,$B16,F$14:F$15)</f>
        <v>0</v>
      </c>
      <c r="G16" s="680">
        <f t="shared" si="8"/>
        <v>0</v>
      </c>
      <c r="H16" s="680">
        <f t="shared" si="8"/>
        <v>0</v>
      </c>
      <c r="I16" s="680">
        <f t="shared" si="8"/>
        <v>0</v>
      </c>
      <c r="J16" s="680">
        <f t="shared" si="8"/>
        <v>0</v>
      </c>
      <c r="K16" s="680">
        <f t="shared" si="8"/>
        <v>0</v>
      </c>
      <c r="L16" s="680">
        <f t="shared" si="8"/>
        <v>0</v>
      </c>
      <c r="M16" s="680">
        <f t="shared" si="8"/>
        <v>0</v>
      </c>
      <c r="N16" s="680">
        <f t="shared" si="8"/>
        <v>0</v>
      </c>
      <c r="O16" s="680">
        <f t="shared" si="8"/>
        <v>0</v>
      </c>
      <c r="P16" s="680">
        <f t="shared" si="8"/>
        <v>0</v>
      </c>
      <c r="Q16" s="680">
        <f t="shared" si="8"/>
        <v>0</v>
      </c>
      <c r="R16" s="9"/>
      <c r="S16" s="9"/>
      <c r="T16" s="9"/>
      <c r="U16" s="9"/>
      <c r="V16" s="9"/>
    </row>
    <row r="17" spans="1:22">
      <c r="A17" s="678" t="s">
        <v>1332</v>
      </c>
      <c r="B17" s="679" t="s">
        <v>927</v>
      </c>
      <c r="C17" s="680">
        <f t="shared" ref="C17:E21" si="9">C41</f>
        <v>0</v>
      </c>
      <c r="D17" s="680">
        <f t="shared" si="9"/>
        <v>0</v>
      </c>
      <c r="E17" s="680">
        <f t="shared" si="9"/>
        <v>0</v>
      </c>
      <c r="F17" s="680">
        <f t="shared" si="8"/>
        <v>0</v>
      </c>
      <c r="G17" s="680">
        <f t="shared" si="8"/>
        <v>1531.665</v>
      </c>
      <c r="H17" s="680">
        <f t="shared" si="8"/>
        <v>1531.665</v>
      </c>
      <c r="I17" s="680">
        <f t="shared" si="8"/>
        <v>1531.665</v>
      </c>
      <c r="J17" s="680">
        <f t="shared" si="8"/>
        <v>1531.665</v>
      </c>
      <c r="K17" s="680">
        <f t="shared" si="8"/>
        <v>1531.665</v>
      </c>
      <c r="L17" s="680">
        <f t="shared" si="8"/>
        <v>1531.665</v>
      </c>
      <c r="M17" s="680">
        <f t="shared" si="8"/>
        <v>1531.665</v>
      </c>
      <c r="N17" s="680">
        <f t="shared" si="8"/>
        <v>1531.665</v>
      </c>
      <c r="O17" s="680">
        <f t="shared" si="8"/>
        <v>1531.665</v>
      </c>
      <c r="P17" s="680">
        <f t="shared" si="8"/>
        <v>1531.665</v>
      </c>
      <c r="Q17" s="680">
        <f t="shared" si="8"/>
        <v>1531.665</v>
      </c>
      <c r="R17" s="9"/>
      <c r="S17" s="9"/>
      <c r="T17" s="9"/>
      <c r="U17" s="9"/>
      <c r="V17" s="9"/>
    </row>
    <row r="18" spans="1:22">
      <c r="A18" s="678" t="s">
        <v>1333</v>
      </c>
      <c r="B18" s="679" t="s">
        <v>928</v>
      </c>
      <c r="C18" s="680">
        <f t="shared" si="9"/>
        <v>0</v>
      </c>
      <c r="D18" s="680">
        <f t="shared" si="9"/>
        <v>0</v>
      </c>
      <c r="E18" s="680">
        <f t="shared" si="9"/>
        <v>0</v>
      </c>
      <c r="F18" s="680">
        <f t="shared" si="8"/>
        <v>0</v>
      </c>
      <c r="G18" s="680">
        <f t="shared" si="8"/>
        <v>0</v>
      </c>
      <c r="H18" s="680">
        <f t="shared" si="8"/>
        <v>0</v>
      </c>
      <c r="I18" s="680">
        <f t="shared" si="8"/>
        <v>0</v>
      </c>
      <c r="J18" s="680">
        <f t="shared" si="8"/>
        <v>0</v>
      </c>
      <c r="K18" s="680">
        <f t="shared" si="8"/>
        <v>0</v>
      </c>
      <c r="L18" s="680">
        <f t="shared" si="8"/>
        <v>0</v>
      </c>
      <c r="M18" s="680">
        <f t="shared" si="8"/>
        <v>0</v>
      </c>
      <c r="N18" s="680">
        <f t="shared" si="8"/>
        <v>0</v>
      </c>
      <c r="O18" s="680">
        <f t="shared" si="8"/>
        <v>0</v>
      </c>
      <c r="P18" s="680">
        <f t="shared" si="8"/>
        <v>0</v>
      </c>
      <c r="Q18" s="680">
        <f t="shared" si="8"/>
        <v>0</v>
      </c>
      <c r="R18" s="9"/>
      <c r="S18" s="9"/>
      <c r="T18" s="9"/>
      <c r="U18" s="9"/>
      <c r="V18" s="9"/>
    </row>
    <row r="19" spans="1:22">
      <c r="A19" s="678" t="s">
        <v>1334</v>
      </c>
      <c r="B19" s="679" t="s">
        <v>929</v>
      </c>
      <c r="C19" s="680">
        <f t="shared" si="9"/>
        <v>0</v>
      </c>
      <c r="D19" s="680">
        <f t="shared" si="9"/>
        <v>0</v>
      </c>
      <c r="E19" s="680">
        <f t="shared" si="9"/>
        <v>0</v>
      </c>
      <c r="F19" s="680">
        <f t="shared" si="8"/>
        <v>8255.2268879999992</v>
      </c>
      <c r="G19" s="680">
        <f t="shared" si="8"/>
        <v>8350.6813734000007</v>
      </c>
      <c r="H19" s="680">
        <f t="shared" si="8"/>
        <v>8286.3762467999968</v>
      </c>
      <c r="I19" s="680">
        <f t="shared" si="8"/>
        <v>8636.5553489999984</v>
      </c>
      <c r="J19" s="680">
        <f t="shared" si="8"/>
        <v>8214.3695856000031</v>
      </c>
      <c r="K19" s="680">
        <f t="shared" si="8"/>
        <v>7755.7485954000003</v>
      </c>
      <c r="L19" s="680">
        <f t="shared" si="8"/>
        <v>8248.1412144000042</v>
      </c>
      <c r="M19" s="680">
        <f t="shared" si="8"/>
        <v>8372.3230499999991</v>
      </c>
      <c r="N19" s="680">
        <f t="shared" si="8"/>
        <v>7966.3021223999986</v>
      </c>
      <c r="O19" s="680">
        <f t="shared" si="8"/>
        <v>7938.7080066000035</v>
      </c>
      <c r="P19" s="680">
        <f t="shared" si="8"/>
        <v>8161.0670753999966</v>
      </c>
      <c r="Q19" s="680">
        <f t="shared" si="8"/>
        <v>8262.1943039999969</v>
      </c>
      <c r="R19" s="9"/>
      <c r="S19" s="9"/>
      <c r="T19" s="9"/>
      <c r="U19" s="9"/>
      <c r="V19" s="9"/>
    </row>
    <row r="20" spans="1:22">
      <c r="A20" s="678" t="s">
        <v>1335</v>
      </c>
      <c r="B20" s="679" t="s">
        <v>930</v>
      </c>
      <c r="C20" s="680">
        <f t="shared" si="9"/>
        <v>0</v>
      </c>
      <c r="D20" s="680">
        <f t="shared" si="9"/>
        <v>0</v>
      </c>
      <c r="E20" s="680">
        <f t="shared" si="9"/>
        <v>0</v>
      </c>
      <c r="F20" s="680">
        <f t="shared" si="8"/>
        <v>222307.88839039995</v>
      </c>
      <c r="G20" s="680">
        <f t="shared" si="8"/>
        <v>215177.99344079994</v>
      </c>
      <c r="H20" s="680">
        <f t="shared" si="8"/>
        <v>217646.72758080001</v>
      </c>
      <c r="I20" s="680">
        <f t="shared" si="8"/>
        <v>210011.09410480002</v>
      </c>
      <c r="J20" s="680">
        <f t="shared" si="8"/>
        <v>256365.29123439998</v>
      </c>
      <c r="K20" s="680">
        <f t="shared" si="8"/>
        <v>250201.09445199996</v>
      </c>
      <c r="L20" s="680">
        <f t="shared" si="8"/>
        <v>220798.8532824</v>
      </c>
      <c r="M20" s="680">
        <f t="shared" si="8"/>
        <v>196614.25688400006</v>
      </c>
      <c r="N20" s="680">
        <f t="shared" si="8"/>
        <v>175765.19118959995</v>
      </c>
      <c r="O20" s="680">
        <f t="shared" si="8"/>
        <v>179770.22236320004</v>
      </c>
      <c r="P20" s="680">
        <f t="shared" si="8"/>
        <v>174854.25346400001</v>
      </c>
      <c r="Q20" s="680">
        <f t="shared" si="8"/>
        <v>174616.7653536</v>
      </c>
      <c r="R20" s="9"/>
      <c r="S20" s="9"/>
      <c r="T20" s="9"/>
      <c r="U20" s="9"/>
      <c r="V20" s="9"/>
    </row>
    <row r="21" spans="1:22">
      <c r="A21" s="678" t="s">
        <v>1336</v>
      </c>
      <c r="B21" s="679" t="s">
        <v>931</v>
      </c>
      <c r="C21" s="680">
        <f t="shared" si="9"/>
        <v>0</v>
      </c>
      <c r="D21" s="680">
        <f t="shared" si="9"/>
        <v>0</v>
      </c>
      <c r="E21" s="680">
        <f t="shared" si="9"/>
        <v>0</v>
      </c>
      <c r="F21" s="680">
        <f t="shared" si="8"/>
        <v>5033.4677079999992</v>
      </c>
      <c r="G21" s="680">
        <f t="shared" si="8"/>
        <v>4029.8642440000008</v>
      </c>
      <c r="H21" s="680">
        <f t="shared" si="8"/>
        <v>5099.9715519999991</v>
      </c>
      <c r="I21" s="680">
        <f t="shared" si="8"/>
        <v>5713.28478</v>
      </c>
      <c r="J21" s="680">
        <f t="shared" si="8"/>
        <v>8548.0950999999986</v>
      </c>
      <c r="K21" s="680">
        <f t="shared" si="8"/>
        <v>7513.9267380000001</v>
      </c>
      <c r="L21" s="680">
        <f t="shared" si="8"/>
        <v>6276.2163079999991</v>
      </c>
      <c r="M21" s="680">
        <f t="shared" si="8"/>
        <v>4665.3454199999996</v>
      </c>
      <c r="N21" s="680">
        <f t="shared" si="8"/>
        <v>2331.3291979999999</v>
      </c>
      <c r="O21" s="680">
        <f t="shared" si="8"/>
        <v>2177.4970739999999</v>
      </c>
      <c r="P21" s="680">
        <f>DSUM(MercadoBase,$B21,P$14:P$15)</f>
        <v>1718.3518479999998</v>
      </c>
      <c r="Q21" s="680">
        <f t="shared" si="8"/>
        <v>1940.703084</v>
      </c>
      <c r="R21" s="9"/>
      <c r="S21" s="9"/>
      <c r="T21" s="9"/>
      <c r="U21" s="9"/>
      <c r="V21" s="9"/>
    </row>
    <row r="22" spans="1:22">
      <c r="A22" s="1335" t="s">
        <v>1337</v>
      </c>
      <c r="B22" s="1336" t="s">
        <v>1194</v>
      </c>
      <c r="C22" s="1337">
        <f>VLOOKUP($Q$15,Índices!$B:$F,2,FALSE)/VLOOKUP(EDATE(C15,-1),Índices!$B:$F,2,FALSE)</f>
        <v>1.1082167683385875</v>
      </c>
      <c r="D22" s="1337">
        <f>VLOOKUP($Q$15,Índices!$B:$F,2,FALSE)/VLOOKUP(EDATE(D15,-1),Índices!$B:$F,2,FALSE)</f>
        <v>1.1015781797155986</v>
      </c>
      <c r="E22" s="1337">
        <f>VLOOKUP($Q$15,Índices!$B:$F,2,FALSE)/VLOOKUP(EDATE(E15,-1),Índices!$B:$F,2,FALSE)</f>
        <v>1.0930813258985603</v>
      </c>
      <c r="F22" s="1337">
        <f>VLOOKUP($Q$15,Índices!$B:$F,2,FALSE)/VLOOKUP(EDATE(F15,-1),Índices!$B:$F,2,FALSE)</f>
        <v>1.0858745154816776</v>
      </c>
      <c r="G22" s="1337">
        <f>VLOOKUP($Q$15,Índices!$B:$F,2,FALSE)/VLOOKUP(EDATE(G15,-1),Índices!$B:$F,2,FALSE)</f>
        <v>1.0928625709205468</v>
      </c>
      <c r="H22" s="1337">
        <f>VLOOKUP($Q$15,Índices!$B:$F,2,FALSE)/VLOOKUP(EDATE(H15,-1),Índices!$B:$F,2,FALSE)</f>
        <v>1.0858814807891262</v>
      </c>
      <c r="I22" s="1337">
        <f>VLOOKUP($Q$15,Índices!$B:$F,2,FALSE)/VLOOKUP(EDATE(I15,-1),Índices!$B:$F,2,FALSE)</f>
        <v>1.0856825071943401</v>
      </c>
      <c r="J22" s="1337">
        <f>VLOOKUP($Q$15,Índices!$B:$F,2,FALSE)/VLOOKUP(EDATE(J15,-1),Índices!$B:$F,2,FALSE)</f>
        <v>1.0763096418852884</v>
      </c>
      <c r="K22" s="1337">
        <f>VLOOKUP($Q$15,Índices!$B:$F,2,FALSE)/VLOOKUP(EDATE(K15,-1),Índices!$B:$F,2,FALSE)</f>
        <v>1.0570963934847399</v>
      </c>
      <c r="L22" s="1337">
        <f>VLOOKUP($Q$15,Índices!$B:$F,2,FALSE)/VLOOKUP(EDATE(L15,-1),Índices!$B:$F,2,FALSE)</f>
        <v>1.0380694251480009</v>
      </c>
      <c r="M22" s="1337">
        <f>VLOOKUP($Q$15,Índices!$B:$F,2,FALSE)/VLOOKUP(EDATE(M15,-1),Índices!$B:$F,2,FALSE)</f>
        <v>1.0203079339221537</v>
      </c>
      <c r="N22" s="1337">
        <f>VLOOKUP($Q$15,Índices!$B:$F,2,FALSE)/VLOOKUP(EDATE(N15,-1),Índices!$B:$F,2,FALSE)</f>
        <v>1.0061088003233121</v>
      </c>
      <c r="O22" s="1337">
        <f>VLOOKUP($Q$15,Índices!$B:$F,2,FALSE)/VLOOKUP(EDATE(O15,-1),Índices!$B:$F,2,FALSE)</f>
        <v>1.0008877041571751</v>
      </c>
      <c r="P22" s="1337">
        <f>VLOOKUP($Q$15,Índices!$B:$F,2,FALSE)/VLOOKUP(EDATE(P15,-1),Índices!$B:$F,2,FALSE)</f>
        <v>0.99506416252827723</v>
      </c>
      <c r="Q22" s="1337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38" t="s">
        <v>1338</v>
      </c>
      <c r="B23" s="1339"/>
      <c r="C23" s="1340">
        <f t="shared" ref="C23:Q23" si="10">SUM(C16:C21)*C22</f>
        <v>0</v>
      </c>
      <c r="D23" s="1340">
        <f t="shared" si="10"/>
        <v>0</v>
      </c>
      <c r="E23" s="1340">
        <f t="shared" si="10"/>
        <v>0</v>
      </c>
      <c r="F23" s="1341">
        <f>SUM(F16:F21)*F22</f>
        <v>255828.32539949589</v>
      </c>
      <c r="G23" s="1341">
        <f t="shared" si="10"/>
        <v>250364.10937975708</v>
      </c>
      <c r="H23" s="1341">
        <f t="shared" si="10"/>
        <v>252537.74466273873</v>
      </c>
      <c r="I23" s="1341">
        <f t="shared" si="10"/>
        <v>245247.64349279829</v>
      </c>
      <c r="J23" s="1341">
        <f t="shared" si="10"/>
        <v>295618.58297082584</v>
      </c>
      <c r="K23" s="1341">
        <f t="shared" si="10"/>
        <v>282247.31086329074</v>
      </c>
      <c r="L23" s="1341">
        <f t="shared" si="10"/>
        <v>245871.80477018992</v>
      </c>
      <c r="M23" s="1341">
        <f t="shared" si="10"/>
        <v>215472.29275235228</v>
      </c>
      <c r="N23" s="1341">
        <f t="shared" si="10"/>
        <v>188740.4647759526</v>
      </c>
      <c r="O23" s="1341">
        <f t="shared" si="10"/>
        <v>191588.01508022097</v>
      </c>
      <c r="P23" s="1341">
        <f t="shared" si="10"/>
        <v>185345.9619554402</v>
      </c>
      <c r="Q23" s="1341">
        <f t="shared" si="10"/>
        <v>185050.04770580897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5" t="s">
        <v>1340</v>
      </c>
      <c r="B25" s="663"/>
      <c r="C25" s="663"/>
      <c r="D25" s="663"/>
      <c r="E25" s="663"/>
      <c r="F25" s="663"/>
      <c r="G25" s="663"/>
      <c r="H25" s="663"/>
      <c r="I25" s="663"/>
      <c r="J25" s="663"/>
      <c r="K25" s="663"/>
      <c r="L25" s="663"/>
      <c r="M25" s="663"/>
      <c r="N25" s="663"/>
      <c r="O25" s="353"/>
      <c r="P25" s="353"/>
      <c r="Q25" s="353"/>
      <c r="R25" s="9"/>
      <c r="S25" s="9"/>
      <c r="T25" s="9"/>
      <c r="U25" s="9"/>
      <c r="V25" s="9"/>
    </row>
    <row r="26" spans="1:22">
      <c r="A26" s="1836" t="s">
        <v>22</v>
      </c>
      <c r="B26" s="1837" t="s">
        <v>1330</v>
      </c>
      <c r="C26" s="675" t="s">
        <v>874</v>
      </c>
      <c r="D26" s="675" t="s">
        <v>874</v>
      </c>
      <c r="E26" s="675" t="s">
        <v>874</v>
      </c>
      <c r="F26" s="675" t="s">
        <v>874</v>
      </c>
      <c r="G26" s="675" t="s">
        <v>874</v>
      </c>
      <c r="H26" s="675" t="s">
        <v>874</v>
      </c>
      <c r="I26" s="675" t="s">
        <v>874</v>
      </c>
      <c r="J26" s="675" t="s">
        <v>874</v>
      </c>
      <c r="K26" s="675" t="s">
        <v>874</v>
      </c>
      <c r="L26" s="675" t="s">
        <v>874</v>
      </c>
      <c r="M26" s="675" t="s">
        <v>874</v>
      </c>
      <c r="N26" s="675" t="s">
        <v>874</v>
      </c>
      <c r="O26" s="675" t="s">
        <v>874</v>
      </c>
      <c r="P26" s="675" t="s">
        <v>874</v>
      </c>
      <c r="Q26" s="675" t="s">
        <v>874</v>
      </c>
      <c r="R26" s="9"/>
      <c r="S26" s="9"/>
      <c r="T26" s="9"/>
      <c r="U26" s="9"/>
      <c r="V26" s="9"/>
    </row>
    <row r="27" spans="1:22">
      <c r="A27" s="1836"/>
      <c r="B27" s="1837"/>
      <c r="C27" s="676">
        <f t="shared" ref="C27:Q27" si="11">C15</f>
        <v>44348</v>
      </c>
      <c r="D27" s="676">
        <f t="shared" si="11"/>
        <v>44378</v>
      </c>
      <c r="E27" s="676">
        <f t="shared" si="11"/>
        <v>44409</v>
      </c>
      <c r="F27" s="677">
        <f>F15</f>
        <v>44440</v>
      </c>
      <c r="G27" s="677">
        <f t="shared" si="11"/>
        <v>44470</v>
      </c>
      <c r="H27" s="677">
        <f t="shared" si="11"/>
        <v>44501</v>
      </c>
      <c r="I27" s="677">
        <f t="shared" si="11"/>
        <v>44531</v>
      </c>
      <c r="J27" s="677">
        <f t="shared" si="11"/>
        <v>44562</v>
      </c>
      <c r="K27" s="677">
        <f t="shared" si="11"/>
        <v>44593</v>
      </c>
      <c r="L27" s="677">
        <f t="shared" si="11"/>
        <v>44621</v>
      </c>
      <c r="M27" s="677">
        <f t="shared" si="11"/>
        <v>44652</v>
      </c>
      <c r="N27" s="677">
        <f t="shared" si="11"/>
        <v>44682</v>
      </c>
      <c r="O27" s="677">
        <f t="shared" si="11"/>
        <v>44713</v>
      </c>
      <c r="P27" s="677">
        <f t="shared" si="11"/>
        <v>44743</v>
      </c>
      <c r="Q27" s="677">
        <f t="shared" si="11"/>
        <v>44774</v>
      </c>
      <c r="S27" s="9"/>
      <c r="T27" s="9"/>
      <c r="U27" s="9"/>
      <c r="V27" s="9"/>
    </row>
    <row r="28" spans="1:22">
      <c r="A28" s="678" t="s">
        <v>1331</v>
      </c>
      <c r="B28" s="679" t="s">
        <v>697</v>
      </c>
      <c r="C28" s="680">
        <f>IF(C40=0,0,VLOOKUP($B28,BD!$B$61:$C$66,2,FALSE))</f>
        <v>0</v>
      </c>
      <c r="D28" s="680">
        <f>IF(D40=0,0,VLOOKUP($B28,BD!$B$61:$C$66,2,FALSE))</f>
        <v>0</v>
      </c>
      <c r="E28" s="680">
        <f>IF(E40=0,0,VLOOKUP($B28,BD!$B$61:$C$66,2,FALSE))</f>
        <v>0</v>
      </c>
      <c r="F28" s="680">
        <f>VLOOKUP($B28,BD!$B$61:$C$66,2,FALSE)</f>
        <v>0</v>
      </c>
      <c r="G28" s="680">
        <f>VLOOKUP($B28,BD!$B$61:$C$66,2,FALSE)</f>
        <v>0</v>
      </c>
      <c r="H28" s="680">
        <f>VLOOKUP($B28,BD!$B$61:$C$66,2,FALSE)</f>
        <v>0</v>
      </c>
      <c r="I28" s="680">
        <f>VLOOKUP($B28,BD!$B$61:$C$66,2,FALSE)</f>
        <v>0</v>
      </c>
      <c r="J28" s="680">
        <f>VLOOKUP($B28,BD!$B$61:$C$66,2,FALSE)</f>
        <v>0</v>
      </c>
      <c r="K28" s="680">
        <f>VLOOKUP($B28,BD!$B$61:$C$66,2,FALSE)</f>
        <v>0</v>
      </c>
      <c r="L28" s="680">
        <f>VLOOKUP($B28,BD!$B$61:$C$66,2,FALSE)</f>
        <v>0</v>
      </c>
      <c r="M28" s="680">
        <f>VLOOKUP($B28,BD!$B$61:$C$66,2,FALSE)</f>
        <v>0</v>
      </c>
      <c r="N28" s="680">
        <f>VLOOKUP($B28,BD!$B$61:$C$66,2,FALSE)</f>
        <v>0</v>
      </c>
      <c r="O28" s="680">
        <f>VLOOKUP($B28,BD!$B$61:$C$66,2,FALSE)</f>
        <v>0</v>
      </c>
      <c r="P28" s="680">
        <f>VLOOKUP($B28,BD!$B$61:$C$66,2,FALSE)</f>
        <v>0</v>
      </c>
      <c r="Q28" s="680">
        <f>VLOOKUP($B28,BD!$B$61:$C$66,2,FALSE)</f>
        <v>0</v>
      </c>
      <c r="S28" s="9"/>
      <c r="T28" s="9"/>
      <c r="U28" s="9"/>
      <c r="V28" s="9"/>
    </row>
    <row r="29" spans="1:22">
      <c r="A29" s="678" t="s">
        <v>1332</v>
      </c>
      <c r="B29" s="679" t="s">
        <v>699</v>
      </c>
      <c r="C29" s="680">
        <f>IF(C41=0,0,VLOOKUP($B29,BD!$B$61:$C$66,2,FALSE))</f>
        <v>0</v>
      </c>
      <c r="D29" s="680">
        <f>IF(D41=0,0,VLOOKUP($B29,BD!$B$61:$C$66,2,FALSE))</f>
        <v>0</v>
      </c>
      <c r="E29" s="680">
        <f>IF(E41=0,0,VLOOKUP($B29,BD!$B$61:$C$66,2,FALSE))</f>
        <v>0</v>
      </c>
      <c r="F29" s="680">
        <f>VLOOKUP($B29,BD!$B$61:$C$66,2,FALSE)</f>
        <v>1277.76</v>
      </c>
      <c r="G29" s="680">
        <f>VLOOKUP($B29,BD!$B$61:$C$66,2,FALSE)</f>
        <v>1277.76</v>
      </c>
      <c r="H29" s="680">
        <f>VLOOKUP($B29,BD!$B$61:$C$66,2,FALSE)</f>
        <v>1277.76</v>
      </c>
      <c r="I29" s="680">
        <f>VLOOKUP($B29,BD!$B$61:$C$66,2,FALSE)</f>
        <v>1277.76</v>
      </c>
      <c r="J29" s="680">
        <f>VLOOKUP($B29,BD!$B$61:$C$66,2,FALSE)</f>
        <v>1277.76</v>
      </c>
      <c r="K29" s="680">
        <f>VLOOKUP($B29,BD!$B$61:$C$66,2,FALSE)</f>
        <v>1277.76</v>
      </c>
      <c r="L29" s="680">
        <f>VLOOKUP($B29,BD!$B$61:$C$66,2,FALSE)</f>
        <v>1277.76</v>
      </c>
      <c r="M29" s="680">
        <f>VLOOKUP($B29,BD!$B$61:$C$66,2,FALSE)</f>
        <v>1277.76</v>
      </c>
      <c r="N29" s="680">
        <f>VLOOKUP($B29,BD!$B$61:$C$66,2,FALSE)</f>
        <v>1277.76</v>
      </c>
      <c r="O29" s="680">
        <f>VLOOKUP($B29,BD!$B$61:$C$66,2,FALSE)</f>
        <v>1277.76</v>
      </c>
      <c r="P29" s="680">
        <f>VLOOKUP($B29,BD!$B$61:$C$66,2,FALSE)</f>
        <v>1277.76</v>
      </c>
      <c r="Q29" s="680">
        <f>VLOOKUP($B29,BD!$B$61:$C$66,2,FALSE)</f>
        <v>1277.76</v>
      </c>
      <c r="S29" s="9"/>
      <c r="T29" s="9"/>
      <c r="U29" s="9"/>
      <c r="V29" s="9"/>
    </row>
    <row r="30" spans="1:22">
      <c r="A30" s="678" t="s">
        <v>1333</v>
      </c>
      <c r="B30" s="679" t="s">
        <v>701</v>
      </c>
      <c r="C30" s="680">
        <f>IF(C42=0,0,VLOOKUP($B30,BD!$B$61:$C$66,2,FALSE))</f>
        <v>0</v>
      </c>
      <c r="D30" s="680">
        <f>IF(D42=0,0,VLOOKUP($B30,BD!$B$61:$C$66,2,FALSE))</f>
        <v>0</v>
      </c>
      <c r="E30" s="680">
        <f>IF(E42=0,0,VLOOKUP($B30,BD!$B$61:$C$66,2,FALSE))</f>
        <v>0</v>
      </c>
      <c r="F30" s="680">
        <f>VLOOKUP($B30,BD!$B$61:$C$66,2,FALSE)</f>
        <v>0</v>
      </c>
      <c r="G30" s="680">
        <f>VLOOKUP($B30,BD!$B$61:$C$66,2,FALSE)</f>
        <v>0</v>
      </c>
      <c r="H30" s="680">
        <f>VLOOKUP($B30,BD!$B$61:$C$66,2,FALSE)</f>
        <v>0</v>
      </c>
      <c r="I30" s="680">
        <f>VLOOKUP($B30,BD!$B$61:$C$66,2,FALSE)</f>
        <v>0</v>
      </c>
      <c r="J30" s="680">
        <f>VLOOKUP($B30,BD!$B$61:$C$66,2,FALSE)</f>
        <v>0</v>
      </c>
      <c r="K30" s="680">
        <f>VLOOKUP($B30,BD!$B$61:$C$66,2,FALSE)</f>
        <v>0</v>
      </c>
      <c r="L30" s="680">
        <f>VLOOKUP($B30,BD!$B$61:$C$66,2,FALSE)</f>
        <v>0</v>
      </c>
      <c r="M30" s="680">
        <f>VLOOKUP($B30,BD!$B$61:$C$66,2,FALSE)</f>
        <v>0</v>
      </c>
      <c r="N30" s="680">
        <f>VLOOKUP($B30,BD!$B$61:$C$66,2,FALSE)</f>
        <v>0</v>
      </c>
      <c r="O30" s="680">
        <f>VLOOKUP($B30,BD!$B$61:$C$66,2,FALSE)</f>
        <v>0</v>
      </c>
      <c r="P30" s="680">
        <f>VLOOKUP($B30,BD!$B$61:$C$66,2,FALSE)</f>
        <v>0</v>
      </c>
      <c r="Q30" s="680">
        <f>VLOOKUP($B30,BD!$B$61:$C$66,2,FALSE)</f>
        <v>0</v>
      </c>
      <c r="S30" s="9"/>
      <c r="T30" s="9"/>
      <c r="U30" s="9"/>
      <c r="V30" s="9"/>
    </row>
    <row r="31" spans="1:22">
      <c r="A31" s="678" t="s">
        <v>1334</v>
      </c>
      <c r="B31" s="679" t="s">
        <v>702</v>
      </c>
      <c r="C31" s="680">
        <f>IF(C43=0,0,VLOOKUP($B31,BD!$B$61:$C$66,2,FALSE))</f>
        <v>0</v>
      </c>
      <c r="D31" s="680">
        <f>IF(D43=0,0,VLOOKUP($B31,BD!$B$61:$C$66,2,FALSE))</f>
        <v>0</v>
      </c>
      <c r="E31" s="680">
        <f>IF(E43=0,0,VLOOKUP($B31,BD!$B$61:$C$66,2,FALSE))</f>
        <v>0</v>
      </c>
      <c r="F31" s="680">
        <f>VLOOKUP($B31,BD!$B$61:$C$66,2,FALSE)</f>
        <v>8489.2999999999993</v>
      </c>
      <c r="G31" s="680">
        <f>VLOOKUP($B31,BD!$B$61:$C$66,2,FALSE)</f>
        <v>8489.2999999999993</v>
      </c>
      <c r="H31" s="680">
        <f>VLOOKUP($B31,BD!$B$61:$C$66,2,FALSE)</f>
        <v>8489.2999999999993</v>
      </c>
      <c r="I31" s="680">
        <f>VLOOKUP($B31,BD!$B$61:$C$66,2,FALSE)</f>
        <v>8489.2999999999993</v>
      </c>
      <c r="J31" s="680">
        <f>VLOOKUP($B31,BD!$B$61:$C$66,2,FALSE)</f>
        <v>8489.2999999999993</v>
      </c>
      <c r="K31" s="680">
        <f>VLOOKUP($B31,BD!$B$61:$C$66,2,FALSE)</f>
        <v>8489.2999999999993</v>
      </c>
      <c r="L31" s="680">
        <f>VLOOKUP($B31,BD!$B$61:$C$66,2,FALSE)</f>
        <v>8489.2999999999993</v>
      </c>
      <c r="M31" s="680">
        <f>VLOOKUP($B31,BD!$B$61:$C$66,2,FALSE)</f>
        <v>8489.2999999999993</v>
      </c>
      <c r="N31" s="680">
        <f>VLOOKUP($B31,BD!$B$61:$C$66,2,FALSE)</f>
        <v>8489.2999999999993</v>
      </c>
      <c r="O31" s="680">
        <f>VLOOKUP($B31,BD!$B$61:$C$66,2,FALSE)</f>
        <v>8489.2999999999993</v>
      </c>
      <c r="P31" s="680">
        <f>VLOOKUP($B31,BD!$B$61:$C$66,2,FALSE)</f>
        <v>8489.2999999999993</v>
      </c>
      <c r="Q31" s="680">
        <f>VLOOKUP($B31,BD!$B$61:$C$66,2,FALSE)</f>
        <v>8489.2999999999993</v>
      </c>
      <c r="S31" s="9"/>
      <c r="T31" s="9"/>
      <c r="U31" s="9"/>
      <c r="V31" s="9"/>
    </row>
    <row r="32" spans="1:22">
      <c r="A32" s="678" t="s">
        <v>1335</v>
      </c>
      <c r="B32" s="679" t="s">
        <v>705</v>
      </c>
      <c r="C32" s="680">
        <f>IF(C44=0,0,VLOOKUP($B32,BD!$B$61:$C$66,2,FALSE))</f>
        <v>0</v>
      </c>
      <c r="D32" s="680">
        <f>IF(D44=0,0,VLOOKUP($B32,BD!$B$61:$C$66,2,FALSE))</f>
        <v>0</v>
      </c>
      <c r="E32" s="680">
        <f>IF(E44=0,0,VLOOKUP($B32,BD!$B$61:$C$66,2,FALSE))</f>
        <v>0</v>
      </c>
      <c r="F32" s="680">
        <f>VLOOKUP($B32,BD!$B$61:$C$66,2,FALSE)</f>
        <v>237290.31</v>
      </c>
      <c r="G32" s="680">
        <f>VLOOKUP($B32,BD!$B$61:$C$66,2,FALSE)</f>
        <v>237290.31</v>
      </c>
      <c r="H32" s="680">
        <f>VLOOKUP($B32,BD!$B$61:$C$66,2,FALSE)</f>
        <v>237290.31</v>
      </c>
      <c r="I32" s="680">
        <f>VLOOKUP($B32,BD!$B$61:$C$66,2,FALSE)</f>
        <v>237290.31</v>
      </c>
      <c r="J32" s="680">
        <f>VLOOKUP($B32,BD!$B$61:$C$66,2,FALSE)</f>
        <v>237290.31</v>
      </c>
      <c r="K32" s="680">
        <f>VLOOKUP($B32,BD!$B$61:$C$66,2,FALSE)</f>
        <v>237290.31</v>
      </c>
      <c r="L32" s="680">
        <f>VLOOKUP($B32,BD!$B$61:$C$66,2,FALSE)</f>
        <v>237290.31</v>
      </c>
      <c r="M32" s="680">
        <f>VLOOKUP($B32,BD!$B$61:$C$66,2,FALSE)</f>
        <v>237290.31</v>
      </c>
      <c r="N32" s="680">
        <f>VLOOKUP($B32,BD!$B$61:$C$66,2,FALSE)</f>
        <v>237290.31</v>
      </c>
      <c r="O32" s="680">
        <f>VLOOKUP($B32,BD!$B$61:$C$66,2,FALSE)</f>
        <v>237290.31</v>
      </c>
      <c r="P32" s="680">
        <f>VLOOKUP($B32,BD!$B$61:$C$66,2,FALSE)</f>
        <v>237290.31</v>
      </c>
      <c r="Q32" s="680">
        <f>VLOOKUP($B32,BD!$B$61:$C$66,2,FALSE)</f>
        <v>237290.31</v>
      </c>
      <c r="S32" s="9"/>
      <c r="T32" s="9"/>
      <c r="U32" s="9"/>
      <c r="V32" s="9"/>
    </row>
    <row r="33" spans="1:22">
      <c r="A33" s="681" t="s">
        <v>1336</v>
      </c>
      <c r="B33" s="679" t="s">
        <v>707</v>
      </c>
      <c r="C33" s="680">
        <f>IF(C45=0,0,VLOOKUP($B33,BD!$B$61:$C$66,2,FALSE))</f>
        <v>0</v>
      </c>
      <c r="D33" s="680">
        <f>IF(D45=0,0,VLOOKUP($B33,BD!$B$61:$C$66,2,FALSE))</f>
        <v>0</v>
      </c>
      <c r="E33" s="680">
        <f>IF(E45=0,0,VLOOKUP($B33,BD!$B$61:$C$66,2,FALSE))</f>
        <v>0</v>
      </c>
      <c r="F33" s="680">
        <f>VLOOKUP($B33,BD!$B$61:$C$66,2,FALSE)</f>
        <v>5004.3100000000004</v>
      </c>
      <c r="G33" s="680">
        <f>VLOOKUP($B33,BD!$B$61:$C$66,2,FALSE)</f>
        <v>5004.3100000000004</v>
      </c>
      <c r="H33" s="680">
        <f>VLOOKUP($B33,BD!$B$61:$C$66,2,FALSE)</f>
        <v>5004.3100000000004</v>
      </c>
      <c r="I33" s="680">
        <f>VLOOKUP($B33,BD!$B$61:$C$66,2,FALSE)</f>
        <v>5004.3100000000004</v>
      </c>
      <c r="J33" s="680">
        <f>VLOOKUP($B33,BD!$B$61:$C$66,2,FALSE)</f>
        <v>5004.3100000000004</v>
      </c>
      <c r="K33" s="680">
        <f>VLOOKUP($B33,BD!$B$61:$C$66,2,FALSE)</f>
        <v>5004.3100000000004</v>
      </c>
      <c r="L33" s="680">
        <f>VLOOKUP($B33,BD!$B$61:$C$66,2,FALSE)</f>
        <v>5004.3100000000004</v>
      </c>
      <c r="M33" s="680">
        <f>VLOOKUP($B33,BD!$B$61:$C$66,2,FALSE)</f>
        <v>5004.3100000000004</v>
      </c>
      <c r="N33" s="680">
        <f>VLOOKUP($B33,BD!$B$61:$C$66,2,FALSE)</f>
        <v>5004.3100000000004</v>
      </c>
      <c r="O33" s="680">
        <f>VLOOKUP($B33,BD!$B$61:$C$66,2,FALSE)</f>
        <v>5004.3100000000004</v>
      </c>
      <c r="P33" s="680">
        <f>VLOOKUP($B33,BD!$B$61:$C$66,2,FALSE)</f>
        <v>5004.3100000000004</v>
      </c>
      <c r="Q33" s="680">
        <f>VLOOKUP($B33,BD!$B$61:$C$66,2,FALSE)</f>
        <v>5004.3100000000004</v>
      </c>
      <c r="S33" s="9"/>
      <c r="T33" s="9"/>
      <c r="U33" s="9"/>
      <c r="V33" s="9"/>
    </row>
    <row r="34" spans="1:22">
      <c r="A34" s="1335" t="s">
        <v>1337</v>
      </c>
      <c r="B34" s="1336" t="s">
        <v>1194</v>
      </c>
      <c r="C34" s="1342">
        <f t="shared" ref="C34:Q34" si="12">C22</f>
        <v>1.1082167683385875</v>
      </c>
      <c r="D34" s="1342">
        <f t="shared" si="12"/>
        <v>1.1015781797155986</v>
      </c>
      <c r="E34" s="1342">
        <f t="shared" si="12"/>
        <v>1.0930813258985603</v>
      </c>
      <c r="F34" s="1337">
        <f t="shared" si="12"/>
        <v>1.0858745154816776</v>
      </c>
      <c r="G34" s="1337">
        <f t="shared" si="12"/>
        <v>1.0928625709205468</v>
      </c>
      <c r="H34" s="1337">
        <f t="shared" si="12"/>
        <v>1.0858814807891262</v>
      </c>
      <c r="I34" s="1337">
        <f t="shared" si="12"/>
        <v>1.0856825071943401</v>
      </c>
      <c r="J34" s="1337">
        <f t="shared" si="12"/>
        <v>1.0763096418852884</v>
      </c>
      <c r="K34" s="1337">
        <f t="shared" si="12"/>
        <v>1.0570963934847399</v>
      </c>
      <c r="L34" s="1337">
        <f t="shared" si="12"/>
        <v>1.0380694251480009</v>
      </c>
      <c r="M34" s="1337">
        <f t="shared" si="12"/>
        <v>1.0203079339221537</v>
      </c>
      <c r="N34" s="1337">
        <f t="shared" si="12"/>
        <v>1.0061088003233121</v>
      </c>
      <c r="O34" s="1337">
        <f t="shared" si="12"/>
        <v>1.0008877041571751</v>
      </c>
      <c r="P34" s="1337">
        <f t="shared" si="12"/>
        <v>0.99506416252827723</v>
      </c>
      <c r="Q34" s="1337">
        <f t="shared" si="12"/>
        <v>0.99301706056210437</v>
      </c>
      <c r="S34" s="9"/>
      <c r="T34" s="9"/>
      <c r="U34" s="9"/>
      <c r="V34" s="9"/>
    </row>
    <row r="35" spans="1:22">
      <c r="A35" s="1338" t="s">
        <v>1338</v>
      </c>
      <c r="B35" s="1339"/>
      <c r="C35" s="1340">
        <f>SUM(C28:C33)*C34</f>
        <v>0</v>
      </c>
      <c r="D35" s="1340">
        <f t="shared" ref="D35:Q35" si="13">SUM(D28:D33)*D34</f>
        <v>0</v>
      </c>
      <c r="E35" s="1340">
        <f t="shared" si="13"/>
        <v>0</v>
      </c>
      <c r="F35" s="1341">
        <f t="shared" si="13"/>
        <v>273707.35464149766</v>
      </c>
      <c r="G35" s="1341">
        <f t="shared" si="13"/>
        <v>275468.77563535218</v>
      </c>
      <c r="H35" s="1341">
        <f t="shared" si="13"/>
        <v>273709.11032859486</v>
      </c>
      <c r="I35" s="1341">
        <f t="shared" si="13"/>
        <v>273658.95671001746</v>
      </c>
      <c r="J35" s="1341">
        <f t="shared" si="13"/>
        <v>271296.41653380415</v>
      </c>
      <c r="K35" s="1341">
        <f t="shared" si="13"/>
        <v>266453.49286370457</v>
      </c>
      <c r="L35" s="1341">
        <f t="shared" si="13"/>
        <v>261657.52325943936</v>
      </c>
      <c r="M35" s="1341">
        <f t="shared" si="13"/>
        <v>257180.53194174703</v>
      </c>
      <c r="N35" s="1341">
        <f t="shared" si="13"/>
        <v>253601.47447227858</v>
      </c>
      <c r="O35" s="1341">
        <f t="shared" si="13"/>
        <v>252285.43620120053</v>
      </c>
      <c r="P35" s="1341">
        <f t="shared" si="13"/>
        <v>250817.54451467059</v>
      </c>
      <c r="Q35" s="1341">
        <f t="shared" si="13"/>
        <v>250301.54855394576</v>
      </c>
      <c r="R35" s="9"/>
      <c r="S35" s="9"/>
      <c r="T35" s="9"/>
      <c r="U35" s="9"/>
      <c r="V35" s="9"/>
    </row>
    <row r="36" spans="1:22">
      <c r="A36" s="1343"/>
      <c r="B36" s="1325"/>
      <c r="C36" s="1343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5" t="s">
        <v>1341</v>
      </c>
      <c r="B37" s="679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6" t="s">
        <v>22</v>
      </c>
      <c r="B38" s="1837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6"/>
      <c r="B39" s="1838"/>
      <c r="C39" s="1344">
        <f>C27</f>
        <v>44348</v>
      </c>
      <c r="D39" s="1344">
        <f t="shared" ref="D39:E39" si="14">D27</f>
        <v>44378</v>
      </c>
      <c r="E39" s="1344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8" t="s">
        <v>1331</v>
      </c>
      <c r="B40" s="682"/>
      <c r="C40" s="683"/>
      <c r="D40" s="684"/>
      <c r="E40" s="684"/>
      <c r="F40" s="65"/>
      <c r="G40" s="842"/>
      <c r="H40" s="680"/>
      <c r="I40" s="680"/>
      <c r="J40" s="680"/>
      <c r="K40" s="680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8" t="s">
        <v>1332</v>
      </c>
      <c r="B41" s="682"/>
      <c r="C41" s="683"/>
      <c r="D41" s="684"/>
      <c r="E41" s="684"/>
      <c r="F41" s="65"/>
      <c r="G41" s="842"/>
      <c r="H41" s="680"/>
      <c r="I41" s="680"/>
      <c r="J41" s="680"/>
      <c r="K41" s="680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8" t="s">
        <v>1333</v>
      </c>
      <c r="B42" s="682"/>
      <c r="C42" s="683"/>
      <c r="D42" s="684"/>
      <c r="E42" s="684"/>
      <c r="F42" s="65"/>
      <c r="G42" s="842"/>
      <c r="H42" s="680"/>
      <c r="I42" s="680"/>
      <c r="J42" s="680"/>
      <c r="K42" s="680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8" t="s">
        <v>1334</v>
      </c>
      <c r="B43" s="682"/>
      <c r="C43" s="683"/>
      <c r="D43" s="684"/>
      <c r="E43" s="684"/>
      <c r="F43" s="65"/>
      <c r="G43" s="842"/>
      <c r="H43" s="680"/>
      <c r="I43" s="680"/>
      <c r="J43" s="680"/>
      <c r="K43" s="680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8" t="s">
        <v>1335</v>
      </c>
      <c r="B44" s="682"/>
      <c r="C44" s="683"/>
      <c r="D44" s="684"/>
      <c r="E44" s="684"/>
      <c r="F44" s="65"/>
      <c r="G44" s="842"/>
      <c r="H44" s="680"/>
      <c r="I44" s="680"/>
      <c r="J44" s="680"/>
      <c r="K44" s="680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1" t="s">
        <v>1336</v>
      </c>
      <c r="B45" s="682"/>
      <c r="C45" s="685"/>
      <c r="D45" s="840"/>
      <c r="E45" s="840"/>
      <c r="F45" s="65"/>
      <c r="G45" s="842"/>
      <c r="H45" s="680"/>
      <c r="I45" s="680"/>
      <c r="J45" s="680"/>
      <c r="K45" s="680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5" t="s">
        <v>8</v>
      </c>
      <c r="B49" s="1346"/>
      <c r="C49" s="1345"/>
      <c r="D49" s="9"/>
    </row>
    <row r="50" spans="1:10">
      <c r="A50" s="1346" t="s">
        <v>2</v>
      </c>
      <c r="B50" s="1346"/>
      <c r="C50" s="1322"/>
    </row>
    <row r="51" spans="1:10">
      <c r="A51" s="1346" t="s">
        <v>3</v>
      </c>
      <c r="B51" s="1346"/>
      <c r="C51" s="1322"/>
      <c r="D51" s="232"/>
    </row>
    <row r="52" spans="1:10">
      <c r="A52" s="1346" t="s">
        <v>4</v>
      </c>
      <c r="B52" s="1346"/>
      <c r="C52" s="1322"/>
      <c r="D52" s="232"/>
    </row>
    <row r="53" spans="1:10">
      <c r="A53" s="1346" t="s">
        <v>5</v>
      </c>
      <c r="B53" s="1346"/>
      <c r="C53" s="1322"/>
      <c r="D53" s="232"/>
    </row>
    <row r="54" spans="1:10">
      <c r="A54" s="1346" t="s">
        <v>6</v>
      </c>
      <c r="B54" s="1346"/>
      <c r="C54" s="1322"/>
      <c r="D54" s="232"/>
      <c r="H54" s="1347"/>
      <c r="I54" s="1348"/>
      <c r="J54" s="1349"/>
    </row>
    <row r="55" spans="1:10">
      <c r="A55" s="1346" t="s">
        <v>7</v>
      </c>
      <c r="B55" s="1346"/>
      <c r="C55" s="1322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 activeCell="G17" sqref="G17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1342</v>
      </c>
      <c r="C1" s="258"/>
      <c r="D1" s="258"/>
      <c r="E1" s="204"/>
      <c r="F1" s="1350"/>
      <c r="G1" s="1131" t="s">
        <v>873</v>
      </c>
      <c r="H1" s="1132">
        <f ca="1">LnkTXTIRTEco</f>
        <v>7.1900000000000006E-2</v>
      </c>
    </row>
    <row r="2" spans="2:26" ht="14.25">
      <c r="B2" s="136" t="str">
        <f>CAPA!C9</f>
        <v>Ceraçá</v>
      </c>
      <c r="C2" s="1351"/>
      <c r="D2" s="1351"/>
      <c r="E2" s="1351"/>
      <c r="F2" s="1352"/>
      <c r="G2" s="120" t="s">
        <v>877</v>
      </c>
      <c r="H2" s="121">
        <f ca="1">LnkTXTIRTTotal</f>
        <v>-0.1532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39"/>
      <c r="P4" s="1839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3" t="s">
        <v>1343</v>
      </c>
      <c r="M6" s="1354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42" t="s">
        <v>1348</v>
      </c>
      <c r="C11" s="1843"/>
      <c r="D11" s="1355" t="s">
        <v>1349</v>
      </c>
      <c r="E11" s="1356" t="s">
        <v>1350</v>
      </c>
      <c r="F11" s="1357" t="s">
        <v>1351</v>
      </c>
      <c r="G11" s="1356" t="s">
        <v>2409</v>
      </c>
      <c r="H11" s="1356"/>
      <c r="I11" s="1356"/>
      <c r="J11" s="1356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48" t="s">
        <v>1353</v>
      </c>
      <c r="C12" s="1843"/>
      <c r="D12" s="1358" t="s">
        <v>1346</v>
      </c>
      <c r="E12" s="1358" t="s">
        <v>772</v>
      </c>
      <c r="F12" s="1358" t="s">
        <v>772</v>
      </c>
      <c r="G12" s="1358" t="s">
        <v>772</v>
      </c>
      <c r="H12" s="1358" t="s">
        <v>772</v>
      </c>
      <c r="I12" s="1358" t="s">
        <v>772</v>
      </c>
      <c r="J12" s="1358" t="s">
        <v>772</v>
      </c>
      <c r="L12" s="1359" t="s">
        <v>1354</v>
      </c>
      <c r="M12" s="1360">
        <v>41275</v>
      </c>
      <c r="O12" s="267"/>
      <c r="P12" s="287"/>
      <c r="Z12" s="68"/>
    </row>
    <row r="13" spans="2:26" ht="14.25">
      <c r="B13" s="1849" t="s">
        <v>1355</v>
      </c>
      <c r="C13" s="1850"/>
      <c r="D13" s="1361">
        <v>43617</v>
      </c>
      <c r="E13" s="1361">
        <v>43617</v>
      </c>
      <c r="F13" s="1361">
        <v>43617</v>
      </c>
      <c r="G13" s="1361">
        <v>44774</v>
      </c>
      <c r="H13" s="1361">
        <f t="shared" ref="H13:J14" si="0">G13</f>
        <v>44774</v>
      </c>
      <c r="I13" s="1361">
        <f t="shared" si="0"/>
        <v>44774</v>
      </c>
      <c r="J13" s="1361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40" t="s">
        <v>1356</v>
      </c>
      <c r="C14" s="1841"/>
      <c r="D14" s="1361">
        <v>42887</v>
      </c>
      <c r="E14" s="1361">
        <v>43252</v>
      </c>
      <c r="F14" s="1361">
        <v>43252</v>
      </c>
      <c r="G14" s="1361">
        <v>44409</v>
      </c>
      <c r="H14" s="1361">
        <f t="shared" si="0"/>
        <v>44409</v>
      </c>
      <c r="I14" s="1361">
        <f t="shared" si="0"/>
        <v>44409</v>
      </c>
      <c r="J14" s="1361">
        <f t="shared" si="0"/>
        <v>44409</v>
      </c>
      <c r="L14" s="1362"/>
      <c r="M14" s="1363">
        <v>41334</v>
      </c>
      <c r="O14" s="267"/>
      <c r="P14" s="287"/>
      <c r="Z14" s="68"/>
    </row>
    <row r="15" spans="2:26" ht="14.25">
      <c r="B15" s="1840" t="s">
        <v>1357</v>
      </c>
      <c r="C15" s="1841"/>
      <c r="D15" s="1364">
        <f>VLOOKUP(D13,Índices!$B$6:$F$500,VLOOKUP(D12,$L$7:$M$9,2,FALSE)+1,FALSE)/VLOOKUP(D14,Índices!$B$6:$F$500,VLOOKUP(D12,$L$7:$M$9,2,FALSE)+1,FALSE)</f>
        <v>1.1414978440075982</v>
      </c>
      <c r="E15" s="1364">
        <f>VLOOKUP(E13,Índices!$B$6:$F$500,VLOOKUP(E12,$L$7:$M$9,2,FALSE)+1,FALSE)/VLOOKUP(E14,Índices!$B$6:$F$500,VLOOKUP(E12,$L$7:$M$9,2,FALSE)+1,FALSE)</f>
        <v>1.0336626715248016</v>
      </c>
      <c r="F15" s="1364">
        <f>VLOOKUP(F13,Índices!$B$6:$F$500,VLOOKUP(F12,$L$7:$M$9,2,FALSE)+1,FALSE)/VLOOKUP(F14,Índices!$B$6:$F$500,VLOOKUP(F12,$L$7:$M$9,2,FALSE)+1,FALSE)</f>
        <v>1.0336626715248016</v>
      </c>
      <c r="G15" s="1364">
        <f>VLOOKUP(G13,Índices!$B$6:$F$500,VLOOKUP(G12,$L$7:$M$9,2,FALSE)+1,FALSE)/VLOOKUP(G14,Índices!$B$6:$F$500,VLOOKUP(G12,$L$7:$M$9,2,FALSE)+1,FALSE)</f>
        <v>1.0872729129262004</v>
      </c>
      <c r="H15" s="1364">
        <f>VLOOKUP(H13,Índices!$B$6:$F$500,VLOOKUP(H12,$L$7:$M$9,2,FALSE)+1,FALSE)/VLOOKUP(H14,Índices!$B$6:$F$500,VLOOKUP(H12,$L$7:$M$9,2,FALSE)+1,FALSE)</f>
        <v>1.0872729129262004</v>
      </c>
      <c r="I15" s="1364">
        <f>VLOOKUP(I13,Índices!$B$6:$F$500,VLOOKUP(I12,$L$7:$M$9,2,FALSE)+1,FALSE)/VLOOKUP(I14,Índices!$B$6:$F$500,VLOOKUP(I12,$L$7:$M$9,2,FALSE)+1,FALSE)</f>
        <v>1.0872729129262004</v>
      </c>
      <c r="J15" s="1364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40" t="s">
        <v>1358</v>
      </c>
      <c r="C16" s="1841"/>
      <c r="D16" s="1365"/>
      <c r="E16" s="1365"/>
      <c r="F16" s="1365"/>
      <c r="G16" s="1365">
        <v>2281120.2047470701</v>
      </c>
      <c r="H16" s="1365"/>
      <c r="I16" s="1365"/>
      <c r="J16" s="1365"/>
      <c r="O16" s="267"/>
      <c r="P16" s="287"/>
      <c r="Z16" s="68"/>
    </row>
    <row r="17" spans="1:26" ht="14.25">
      <c r="B17" s="1846" t="s">
        <v>1359</v>
      </c>
      <c r="C17" s="1847"/>
      <c r="D17" s="1366">
        <f t="shared" ref="D17:E17" si="1">D16*D15</f>
        <v>0</v>
      </c>
      <c r="E17" s="1366">
        <f t="shared" si="1"/>
        <v>0</v>
      </c>
      <c r="F17" s="1366">
        <f>F16*F15</f>
        <v>0</v>
      </c>
      <c r="G17" s="1366">
        <f>G16*G15</f>
        <v>2480200.2097501578</v>
      </c>
      <c r="H17" s="1366">
        <f>H16*H15</f>
        <v>0</v>
      </c>
      <c r="I17" s="1366">
        <f>I16*I15</f>
        <v>0</v>
      </c>
      <c r="J17" s="1366">
        <f>J16*J15</f>
        <v>0</v>
      </c>
      <c r="O17" s="267"/>
      <c r="P17" s="92"/>
      <c r="Z17" s="68"/>
    </row>
    <row r="18" spans="1:26" ht="14.25">
      <c r="E18" s="290" t="s">
        <v>1360</v>
      </c>
      <c r="F18" s="491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7" t="s">
        <v>1348</v>
      </c>
      <c r="C22" s="1844" t="s">
        <v>2280</v>
      </c>
      <c r="D22" s="1845"/>
      <c r="E22" s="1857" t="s">
        <v>1364</v>
      </c>
      <c r="F22" s="1858"/>
      <c r="G22" s="1857" t="str">
        <f>Financeiros!C25</f>
        <v>Ajuste CUST RB Fronteira + PIS Cofins RB Fronteira</v>
      </c>
      <c r="H22" s="1858"/>
      <c r="I22" s="1861" t="s">
        <v>1176</v>
      </c>
      <c r="J22" s="1862"/>
      <c r="K22" s="1851" t="s">
        <v>1365</v>
      </c>
      <c r="L22" s="1852"/>
      <c r="M22" s="1853" t="s">
        <v>2157</v>
      </c>
      <c r="N22" s="1854"/>
      <c r="O22" s="1855" t="s">
        <v>1366</v>
      </c>
      <c r="P22" s="1856"/>
      <c r="Q22" s="1855" t="s">
        <v>192</v>
      </c>
      <c r="R22" s="1856"/>
      <c r="S22" s="1855" t="s">
        <v>2043</v>
      </c>
      <c r="T22" s="1856"/>
      <c r="U22" s="1855" t="s">
        <v>2044</v>
      </c>
      <c r="V22" s="1856"/>
      <c r="Z22" s="68"/>
    </row>
    <row r="23" spans="1:26" ht="14.25">
      <c r="B23" s="1368" t="s">
        <v>925</v>
      </c>
      <c r="C23" s="1369" t="s">
        <v>1367</v>
      </c>
      <c r="D23" s="1370" t="s">
        <v>772</v>
      </c>
      <c r="E23" s="1369" t="s">
        <v>1367</v>
      </c>
      <c r="F23" s="1370" t="s">
        <v>772</v>
      </c>
      <c r="G23" s="1369" t="s">
        <v>1367</v>
      </c>
      <c r="H23" s="1370" t="s">
        <v>772</v>
      </c>
      <c r="I23" s="1369" t="s">
        <v>1367</v>
      </c>
      <c r="J23" s="1370" t="s">
        <v>772</v>
      </c>
      <c r="K23" s="1369" t="s">
        <v>1367</v>
      </c>
      <c r="L23" s="1370" t="s">
        <v>1346</v>
      </c>
      <c r="M23" s="1371" t="s">
        <v>1367</v>
      </c>
      <c r="N23" s="1372" t="s">
        <v>1346</v>
      </c>
      <c r="O23" s="1371" t="s">
        <v>1367</v>
      </c>
      <c r="P23" s="1372" t="s">
        <v>772</v>
      </c>
      <c r="Q23" s="1371" t="s">
        <v>1367</v>
      </c>
      <c r="R23" s="1372" t="s">
        <v>772</v>
      </c>
      <c r="S23" s="1371" t="s">
        <v>1367</v>
      </c>
      <c r="T23" s="1372" t="s">
        <v>772</v>
      </c>
      <c r="U23" s="1371" t="s">
        <v>1367</v>
      </c>
      <c r="V23" s="1372" t="s">
        <v>772</v>
      </c>
      <c r="Z23" s="68"/>
    </row>
    <row r="24" spans="1:26" ht="14.25">
      <c r="B24" s="1373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8417.25</v>
      </c>
      <c r="D37" s="830">
        <f>VLOOKUP($B$48,Índices!$B$6:$F$500,VLOOKUP(D$23,$L$7:$M$9,2,FALSE)+1,FALSE)/VLOOKUP(DATE(YEAR($B37),MONTH($B37)-1,1),Índices!$B$6:$F$500,VLOOKUP(D$23,$L$7:$M$9,2,FALSE)+1,FALSE)*C37</f>
        <v>9151.8479263280606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58279.58</v>
      </c>
      <c r="D38" s="225">
        <f>VLOOKUP($B$48,Índices!$B$6:$F$500,VLOOKUP(D$23,$L$7:$M$9,2,FALSE)+1,FALSE)/VLOOKUP(DATE(YEAR($B38),MONTH($B38)-1,1),Índices!$B$6:$F$500,VLOOKUP(D$23,$L$7:$M$9,2,FALSE)+1,FALSE)*C38</f>
        <v>62639.217032137152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72793.17</v>
      </c>
      <c r="D39" s="225">
        <f>VLOOKUP($B$48,Índices!$B$6:$F$500,VLOOKUP(D$23,$L$7:$M$9,2,FALSE)+1,FALSE)/VLOOKUP(DATE(YEAR($B39),MONTH($B39)-1,1),Índices!$B$6:$F$500,VLOOKUP(D$23,$L$7:$M$9,2,FALSE)+1,FALSE)*C39</f>
        <v>77272.630604235921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83753.98</v>
      </c>
      <c r="D40" s="225">
        <f>VLOOKUP($B$48,Índices!$B$6:$F$500,VLOOKUP(D$23,$L$7:$M$9,2,FALSE)+1,FALSE)/VLOOKUP(DATE(YEAR($B40),MONTH($B40)-1,1),Índices!$B$6:$F$500,VLOOKUP(D$23,$L$7:$M$9,2,FALSE)+1,FALSE)*C40</f>
        <v>88071.19688506161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89149.759999999995</v>
      </c>
      <c r="D41" s="225">
        <f>VLOOKUP($B$48,Índices!$B$6:$F$500,VLOOKUP(D$23,$L$7:$M$9,2,FALSE)+1,FALSE)/VLOOKUP(DATE(YEAR($B41),MONTH($B41)-1,1),Índices!$B$6:$F$500,VLOOKUP(D$23,$L$7:$M$9,2,FALSE)+1,FALSE)*C41</f>
        <v>93065.768715760016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117367.31</v>
      </c>
      <c r="D42" s="225">
        <f>VLOOKUP($B$48,Índices!$B$6:$F$500,VLOOKUP(D$23,$L$7:$M$9,2,FALSE)+1,FALSE)/VLOOKUP(DATE(YEAR($B42),MONTH($B42)-1,1),Índices!$B$6:$F$500,VLOOKUP(D$23,$L$7:$M$9,2,FALSE)+1,FALSE)*C42</f>
        <v>121864.70307434149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-21236.880000000001</v>
      </c>
      <c r="H42" s="225">
        <f>VLOOKUP($B$48,Índices!$B$6:$F$500,VLOOKUP(H$23,$L$7:$M$9,2,FALSE)+1,FALSE)/VLOOKUP(DATE(YEAR($B42),MONTH($B42)-1,1),Índices!$B$6:$F$500,VLOOKUP(H$23,$L$7:$M$9,2,FALSE)+1,FALSE)*G42</f>
        <v>-22050.655122158136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58963.53</v>
      </c>
      <c r="D43" s="225">
        <f>VLOOKUP($B$48,Índices!$B$6:$F$500,VLOOKUP(D$23,$L$7:$M$9,2,FALSE)+1,FALSE)/VLOOKUP(DATE(YEAR($B43),MONTH($B43)-1,1),Índices!$B$6:$F$500,VLOOKUP(D$23,$L$7:$M$9,2,FALSE)+1,FALSE)*C43</f>
        <v>60610.745186203589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70018.33</v>
      </c>
      <c r="D44" s="225">
        <f>VLOOKUP($B$48,Índices!$B$6:$F$500,VLOOKUP(D$23,$L$7:$M$9,2,FALSE)+1,FALSE)/VLOOKUP(DATE(YEAR($B44),MONTH($B44)-1,1),Índices!$B$6:$F$500,VLOOKUP(D$23,$L$7:$M$9,2,FALSE)+1,FALSE)*C44</f>
        <v>70826.942031830622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40697.380000000005</v>
      </c>
      <c r="D45" s="225">
        <f>VLOOKUP($B$48,Índices!$B$6:$F$500,VLOOKUP(D$23,$L$7:$M$9,2,FALSE)+1,FALSE)/VLOOKUP(DATE(YEAR($B45),MONTH($B45)-1,1),Índices!$B$6:$F$500,VLOOKUP(D$23,$L$7:$M$9,2,FALSE)+1,FALSE)*C45</f>
        <v>40735.572368679968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63182.380000000005</v>
      </c>
      <c r="D46" s="225">
        <f>VLOOKUP($B$48,Índices!$B$6:$F$500,VLOOKUP(D$23,$L$7:$M$9,2,FALSE)+1,FALSE)/VLOOKUP(DATE(YEAR($B46),MONTH($B46)-1,1),Índices!$B$6:$F$500,VLOOKUP(D$23,$L$7:$M$9,2,FALSE)+1,FALSE)*C46</f>
        <v>62945.823422643181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601942.50009999995</v>
      </c>
      <c r="L46" s="225">
        <f>VLOOKUP($B$48,Índices!$B$6:$F$500,VLOOKUP(L$23,$L$7:$M$9,2,FALSE)+1,FALSE)/VLOOKUP(DATE(YEAR($B46),MONTH($B46)-1,1),Índices!$B$6:$F$500,VLOOKUP(L$23,$L$7:$M$9,2,FALSE)+1,FALSE)*K46</f>
        <v>621530.44859260169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79081.37</v>
      </c>
      <c r="D47" s="225">
        <f>VLOOKUP($B$48,Índices!$B$6:$F$500,VLOOKUP(D$23,$L$7:$M$9,2,FALSE)+1,FALSE)/VLOOKUP(DATE(YEAR($B47),MONTH($B47)-1,1),Índices!$B$6:$F$500,VLOOKUP(D$23,$L$7:$M$9,2,FALSE)+1,FALSE)*C47</f>
        <v>78260.893972428094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40043.448400000001</v>
      </c>
      <c r="L47" s="225">
        <f>VLOOKUP($B$48,Índices!$B$6:$F$500,VLOOKUP(L$23,$L$7:$M$9,2,FALSE)+1,FALSE)/VLOOKUP(DATE(YEAR($B47),MONTH($B47)-1,1),Índices!$B$6:$F$500,VLOOKUP(L$23,$L$7:$M$9,2,FALSE)+1,FALSE)*K47</f>
        <v>40930.933253629541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4">
        <f>DATE(YEAR(CAPA!$C$15),MONTH(CAPA!$C$15)-1,1)</f>
        <v>44774</v>
      </c>
      <c r="C48" s="293">
        <f>CAPA!C77</f>
        <v>100220.96</v>
      </c>
      <c r="D48" s="225">
        <f>VLOOKUP($B$48,Índices!$B$6:$F$500,VLOOKUP(D$23,$L$7:$M$9,2,FALSE)+1,FALSE)/VLOOKUP(DATE(YEAR($B48),MONTH($B48)-1,1),Índices!$B$6:$F$500,VLOOKUP(D$23,$L$7:$M$9,2,FALSE)+1,FALSE)*C48</f>
        <v>99860.211747627487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5">
        <f t="shared" ref="C49:P49" si="3">SUM(C25:C48)</f>
        <v>841924.99999999988</v>
      </c>
      <c r="D49" s="1376">
        <f t="shared" si="3"/>
        <v>865305.55296727712</v>
      </c>
      <c r="E49" s="1375">
        <f t="shared" si="3"/>
        <v>0</v>
      </c>
      <c r="F49" s="1376">
        <f t="shared" si="3"/>
        <v>0</v>
      </c>
      <c r="G49" s="1375">
        <f t="shared" si="3"/>
        <v>-21236.880000000001</v>
      </c>
      <c r="H49" s="1376">
        <f t="shared" si="3"/>
        <v>-22050.655122158136</v>
      </c>
      <c r="I49" s="1377">
        <f>SUM(I24:I48)</f>
        <v>0</v>
      </c>
      <c r="J49" s="1377">
        <f>SUM(J24:J48)</f>
        <v>0</v>
      </c>
      <c r="K49" s="1378">
        <f t="shared" si="3"/>
        <v>641985.94849999994</v>
      </c>
      <c r="L49" s="1379">
        <f t="shared" si="3"/>
        <v>662461.38184623118</v>
      </c>
      <c r="M49" s="1380">
        <f t="shared" si="3"/>
        <v>0</v>
      </c>
      <c r="N49" s="1381">
        <f t="shared" si="3"/>
        <v>0</v>
      </c>
      <c r="O49" s="1380">
        <f t="shared" si="3"/>
        <v>0</v>
      </c>
      <c r="P49" s="1381">
        <f t="shared" si="3"/>
        <v>0</v>
      </c>
      <c r="Q49" s="1380">
        <f t="shared" ref="Q49:R49" si="4">SUM(Q25:Q48)</f>
        <v>0</v>
      </c>
      <c r="R49" s="1381">
        <f t="shared" si="4"/>
        <v>0</v>
      </c>
      <c r="S49" s="1380">
        <f>-S51</f>
        <v>0</v>
      </c>
      <c r="T49" s="1381">
        <f t="shared" ref="T49:V49" si="5">SUM(T25:T48)</f>
        <v>0</v>
      </c>
      <c r="U49" s="1380">
        <f>-S52</f>
        <v>0</v>
      </c>
      <c r="V49" s="1381">
        <f t="shared" si="5"/>
        <v>0</v>
      </c>
      <c r="Z49" s="68"/>
    </row>
    <row r="50" spans="2:30" ht="14.25">
      <c r="J50" s="68" t="s">
        <v>848</v>
      </c>
      <c r="M50" s="198"/>
      <c r="N50" s="107"/>
      <c r="S50" s="1314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59" t="s">
        <v>2085</v>
      </c>
      <c r="D53" s="1860"/>
      <c r="E53" s="1859" t="s">
        <v>1369</v>
      </c>
      <c r="F53" s="1860"/>
      <c r="G53" s="1859" t="s">
        <v>1370</v>
      </c>
      <c r="H53" s="1860"/>
      <c r="I53" s="1859" t="s">
        <v>1371</v>
      </c>
      <c r="J53" s="1860"/>
      <c r="K53" s="1857" t="s">
        <v>1372</v>
      </c>
      <c r="L53" s="1858"/>
      <c r="M53" s="1859" t="s">
        <v>1373</v>
      </c>
      <c r="N53" s="1860"/>
      <c r="O53" s="1859" t="s">
        <v>2087</v>
      </c>
      <c r="P53" s="1860"/>
      <c r="Q53" s="1859" t="s">
        <v>2088</v>
      </c>
      <c r="R53" s="1860"/>
      <c r="S53" s="1859" t="s">
        <v>1374</v>
      </c>
      <c r="T53" s="1860"/>
      <c r="U53" s="1859" t="s">
        <v>1375</v>
      </c>
      <c r="V53" s="1860"/>
      <c r="W53" s="1859" t="s">
        <v>36</v>
      </c>
      <c r="X53" s="1860"/>
      <c r="Z53" s="68"/>
    </row>
    <row r="54" spans="2:30" ht="14.25">
      <c r="C54" s="1371" t="s">
        <v>1367</v>
      </c>
      <c r="D54" s="1372" t="s">
        <v>772</v>
      </c>
      <c r="E54" s="1371" t="s">
        <v>1367</v>
      </c>
      <c r="F54" s="1372" t="s">
        <v>772</v>
      </c>
      <c r="G54" s="1371" t="s">
        <v>1367</v>
      </c>
      <c r="H54" s="1372" t="s">
        <v>772</v>
      </c>
      <c r="I54" s="1371" t="s">
        <v>1367</v>
      </c>
      <c r="J54" s="1372" t="s">
        <v>772</v>
      </c>
      <c r="K54" s="1369" t="s">
        <v>1367</v>
      </c>
      <c r="L54" s="1370" t="s">
        <v>772</v>
      </c>
      <c r="M54" s="1371" t="s">
        <v>1367</v>
      </c>
      <c r="N54" s="1372" t="s">
        <v>772</v>
      </c>
      <c r="O54" s="1371" t="s">
        <v>1367</v>
      </c>
      <c r="P54" s="1372" t="s">
        <v>772</v>
      </c>
      <c r="Q54" s="1371" t="s">
        <v>1367</v>
      </c>
      <c r="R54" s="1372" t="s">
        <v>772</v>
      </c>
      <c r="S54" s="1371" t="s">
        <v>1367</v>
      </c>
      <c r="T54" s="1372" t="s">
        <v>772</v>
      </c>
      <c r="U54" s="1371" t="s">
        <v>1367</v>
      </c>
      <c r="V54" s="1372" t="s">
        <v>772</v>
      </c>
      <c r="W54" s="1371" t="s">
        <v>1367</v>
      </c>
      <c r="X54" s="1382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298.23596935973546</v>
      </c>
      <c r="H68" s="225">
        <f ca="1">VLOOKUP($B$48,Índices!$B$6:$F$500,VLOOKUP(H$54,$L$7:$M$9,2,FALSE)+1,FALSE)/VLOOKUP(DATE(YEAR($B68),MONTH($B68)-1,1),Índices!$B$6:$F$500,VLOOKUP(H$54,$L$7:$M$9,2,FALSE)+1,FALSE)*G68</f>
        <v>324.26389114512864</v>
      </c>
      <c r="I68" s="207">
        <f ca="1">Encargos!F31</f>
        <v>11060.047376576287</v>
      </c>
      <c r="J68" s="225">
        <f ca="1">VLOOKUP($B$48,Índices!$B$6:$F$500,VLOOKUP(J$54,$L$7:$M$9,2,FALSE)+1,FALSE)/VLOOKUP(DATE(YEAR($B68),MONTH($B68)-1,1),Índices!$B$6:$F$500,VLOOKUP(J$54,$L$7:$M$9,2,FALSE)+1,FALSE)*I68</f>
        <v>12025.289928231881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1618.9983105130232</v>
      </c>
      <c r="N68" s="225">
        <f ca="1">VLOOKUP($B$48,Índices!$B$6:$F$500,VLOOKUP(N$54,$L$7:$M$9,2,FALSE)+1,FALSE)/VLOOKUP(DATE(YEAR($B68),MONTH($B68)-1,1),Índices!$B$6:$F$500,VLOOKUP(N$54,$L$7:$M$9,2,FALSE)+1,FALSE)*M68</f>
        <v>1760.2930090940918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562.09941965003418</v>
      </c>
      <c r="H69" s="225">
        <f ca="1">VLOOKUP($B$48,Índices!$B$6:$F$500,VLOOKUP(H$54,$L$7:$M$9,2,FALSE)+1,FALSE)/VLOOKUP(DATE(YEAR($B69),MONTH($B69)-1,1),Índices!$B$6:$F$500,VLOOKUP(H$54,$L$7:$M$9,2,FALSE)+1,FALSE)*G69</f>
        <v>604.14758550244915</v>
      </c>
      <c r="I69" s="207">
        <f ca="1">Encargos!F32</f>
        <v>26284.82445998647</v>
      </c>
      <c r="J69" s="225">
        <f ca="1">VLOOKUP($B$48,Índices!$B$6:$F$500,VLOOKUP(J$54,$L$7:$M$9,2,FALSE)+1,FALSE)/VLOOKUP(DATE(YEAR($B69),MONTH($B69)-1,1),Índices!$B$6:$F$500,VLOOKUP(J$54,$L$7:$M$9,2,FALSE)+1,FALSE)*I69</f>
        <v>28251.075659788894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4141.5275568869401</v>
      </c>
      <c r="N69" s="225">
        <f ca="1">VLOOKUP($B$48,Índices!$B$6:$F$500,VLOOKUP(N$54,$L$7:$M$9,2,FALSE)+1,FALSE)/VLOOKUP(DATE(YEAR($B69),MONTH($B69)-1,1),Índices!$B$6:$F$500,VLOOKUP(N$54,$L$7:$M$9,2,FALSE)+1,FALSE)*M69</f>
        <v>4451.3368744321388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483.73117094997178</v>
      </c>
      <c r="H70" s="225">
        <f ca="1">VLOOKUP($B$48,Índices!$B$6:$F$500,VLOOKUP(H$54,$L$7:$M$9,2,FALSE)+1,FALSE)/VLOOKUP(DATE(YEAR($B70),MONTH($B70)-1,1),Índices!$B$6:$F$500,VLOOKUP(H$54,$L$7:$M$9,2,FALSE)+1,FALSE)*G70</f>
        <v>513.49845163456507</v>
      </c>
      <c r="I70" s="207">
        <f ca="1">Encargos!F33</f>
        <v>21205.120246163511</v>
      </c>
      <c r="J70" s="225">
        <f ca="1">VLOOKUP($B$48,Índices!$B$6:$F$500,VLOOKUP(J$54,$L$7:$M$9,2,FALSE)+1,FALSE)/VLOOKUP(DATE(YEAR($B70),MONTH($B70)-1,1),Índices!$B$6:$F$500,VLOOKUP(J$54,$L$7:$M$9,2,FALSE)+1,FALSE)*I70</f>
        <v>22510.016031726565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3278.8036358395038</v>
      </c>
      <c r="N70" s="225">
        <f ca="1">VLOOKUP($B$48,Índices!$B$6:$F$500,VLOOKUP(N$54,$L$7:$M$9,2,FALSE)+1,FALSE)/VLOOKUP(DATE(YEAR($B70),MONTH($B70)-1,1),Índices!$B$6:$F$500,VLOOKUP(N$54,$L$7:$M$9,2,FALSE)+1,FALSE)*M70</f>
        <v>3480.570803223045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296.73064578712547</v>
      </c>
      <c r="H71" s="225">
        <f ca="1">VLOOKUP($B$48,Índices!$B$6:$F$500,VLOOKUP(H$54,$L$7:$M$9,2,FALSE)+1,FALSE)/VLOOKUP(DATE(YEAR($B71),MONTH($B71)-1,1),Índices!$B$6:$F$500,VLOOKUP(H$54,$L$7:$M$9,2,FALSE)+1,FALSE)*G71</f>
        <v>312.02604493481272</v>
      </c>
      <c r="I71" s="207">
        <f ca="1">Encargos!F34</f>
        <v>20711.613229368872</v>
      </c>
      <c r="J71" s="225">
        <f ca="1">VLOOKUP($B$48,Índices!$B$6:$F$500,VLOOKUP(J$54,$L$7:$M$9,2,FALSE)+1,FALSE)/VLOOKUP(DATE(YEAR($B71),MONTH($B71)-1,1),Índices!$B$6:$F$500,VLOOKUP(J$54,$L$7:$M$9,2,FALSE)+1,FALSE)*I71</f>
        <v>21779.222510154057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3553.7499581203592</v>
      </c>
      <c r="N71" s="225">
        <f ca="1">VLOOKUP($B$48,Índices!$B$6:$F$500,VLOOKUP(N$54,$L$7:$M$9,2,FALSE)+1,FALSE)/VLOOKUP(DATE(YEAR($B71),MONTH($B71)-1,1),Índices!$B$6:$F$500,VLOOKUP(N$54,$L$7:$M$9,2,FALSE)+1,FALSE)*M71</f>
        <v>3736.9330059526442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-953.13929122530317</v>
      </c>
      <c r="H72" s="225">
        <f ca="1">VLOOKUP($B$48,Índices!$B$6:$F$500,VLOOKUP(H$54,$L$7:$M$9,2,FALSE)+1,FALSE)/VLOOKUP(DATE(YEAR($B72),MONTH($B72)-1,1),Índices!$B$6:$F$500,VLOOKUP(H$54,$L$7:$M$9,2,FALSE)+1,FALSE)*G72</f>
        <v>-995.00706262223821</v>
      </c>
      <c r="I72" s="207">
        <f ca="1">Encargos!F35</f>
        <v>-39503.230994516751</v>
      </c>
      <c r="J72" s="225">
        <f ca="1">VLOOKUP($B$48,Índices!$B$6:$F$500,VLOOKUP(J$54,$L$7:$M$9,2,FALSE)+1,FALSE)/VLOOKUP(DATE(YEAR($B72),MONTH($B72)-1,1),Índices!$B$6:$F$500,VLOOKUP(J$54,$L$7:$M$9,2,FALSE)+1,FALSE)*I72</f>
        <v>-41238.457167590117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-6010.8131473651592</v>
      </c>
      <c r="N72" s="225">
        <f ca="1">VLOOKUP($B$48,Índices!$B$6:$F$500,VLOOKUP(N$54,$L$7:$M$9,2,FALSE)+1,FALSE)/VLOOKUP(DATE(YEAR($B72),MONTH($B72)-1,1),Índices!$B$6:$F$500,VLOOKUP(N$54,$L$7:$M$9,2,FALSE)+1,FALSE)*M72</f>
        <v>-6274.8452285943958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-864.98822881149135</v>
      </c>
      <c r="H73" s="225">
        <f ca="1">VLOOKUP($B$48,Índices!$B$6:$F$500,VLOOKUP(H$54,$L$7:$M$9,2,FALSE)+1,FALSE)/VLOOKUP(DATE(YEAR($B73),MONTH($B73)-1,1),Índices!$B$6:$F$500,VLOOKUP(H$54,$L$7:$M$9,2,FALSE)+1,FALSE)*G73</f>
        <v>-898.13367680415411</v>
      </c>
      <c r="I73" s="207">
        <f ca="1">Encargos!F36</f>
        <v>-33788.99903589912</v>
      </c>
      <c r="J73" s="225">
        <f ca="1">VLOOKUP($B$48,Índices!$B$6:$F$500,VLOOKUP(J$54,$L$7:$M$9,2,FALSE)+1,FALSE)/VLOOKUP(DATE(YEAR($B73),MONTH($B73)-1,1),Índices!$B$6:$F$500,VLOOKUP(J$54,$L$7:$M$9,2,FALSE)+1,FALSE)*I73</f>
        <v>-35083.758285753138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-5057.0843696323282</v>
      </c>
      <c r="N73" s="225">
        <f ca="1">VLOOKUP($B$48,Índices!$B$6:$F$500,VLOOKUP(N$54,$L$7:$M$9,2,FALSE)+1,FALSE)/VLOOKUP(DATE(YEAR($B73),MONTH($B73)-1,1),Índices!$B$6:$F$500,VLOOKUP(N$54,$L$7:$M$9,2,FALSE)+1,FALSE)*M73</f>
        <v>-5250.8665754300509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-229.86045113786167</v>
      </c>
      <c r="H74" s="225">
        <f ca="1">VLOOKUP($B$48,Índices!$B$6:$F$500,VLOOKUP(H$54,$L$7:$M$9,2,FALSE)+1,FALSE)/VLOOKUP(DATE(YEAR($B74),MONTH($B74)-1,1),Índices!$B$6:$F$500,VLOOKUP(H$54,$L$7:$M$9,2,FALSE)+1,FALSE)*G74</f>
        <v>-236.28187173160657</v>
      </c>
      <c r="I74" s="207">
        <f ca="1">Encargos!F37</f>
        <v>-14079.99919984478</v>
      </c>
      <c r="J74" s="225">
        <f ca="1">VLOOKUP($B$48,Índices!$B$6:$F$500,VLOOKUP(J$54,$L$7:$M$9,2,FALSE)+1,FALSE)/VLOOKUP(DATE(YEAR($B74),MONTH($B74)-1,1),Índices!$B$6:$F$500,VLOOKUP(J$54,$L$7:$M$9,2,FALSE)+1,FALSE)*I74</f>
        <v>-14473.340448303255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-2383.5106756353634</v>
      </c>
      <c r="N74" s="225">
        <f ca="1">VLOOKUP($B$48,Índices!$B$6:$F$500,VLOOKUP(N$54,$L$7:$M$9,2,FALSE)+1,FALSE)/VLOOKUP(DATE(YEAR($B74),MONTH($B74)-1,1),Índices!$B$6:$F$500,VLOOKUP(N$54,$L$7:$M$9,2,FALSE)+1,FALSE)*M74</f>
        <v>-2450.0968345947226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601.84176917016157</v>
      </c>
      <c r="H75" s="225">
        <f ca="1">VLOOKUP($B$48,Índices!$B$6:$F$500,VLOOKUP(H$54,$L$7:$M$9,2,FALSE)+1,FALSE)/VLOOKUP(DATE(YEAR($B75),MONTH($B75)-1,1),Índices!$B$6:$F$500,VLOOKUP(H$54,$L$7:$M$9,2,FALSE)+1,FALSE)*G75</f>
        <v>608.79218480859834</v>
      </c>
      <c r="I75" s="207">
        <f ca="1">Encargos!F38</f>
        <v>28660.580056252831</v>
      </c>
      <c r="J75" s="225">
        <f ca="1">VLOOKUP($B$48,Índices!$B$6:$F$500,VLOOKUP(J$54,$L$7:$M$9,2,FALSE)+1,FALSE)/VLOOKUP(DATE(YEAR($B75),MONTH($B75)-1,1),Índices!$B$6:$F$500,VLOOKUP(J$54,$L$7:$M$9,2,FALSE)+1,FALSE)*I75</f>
        <v>28991.568954056176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4490.3847457934316</v>
      </c>
      <c r="N75" s="225">
        <f ca="1">VLOOKUP($B$48,Índices!$B$6:$F$500,VLOOKUP(N$54,$L$7:$M$9,2,FALSE)+1,FALSE)/VLOOKUP(DATE(YEAR($B75),MONTH($B75)-1,1),Índices!$B$6:$F$500,VLOOKUP(N$54,$L$7:$M$9,2,FALSE)+1,FALSE)*M75</f>
        <v>4542.2422969946283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1015.6820042999134</v>
      </c>
      <c r="H76" s="225">
        <f ca="1">VLOOKUP($B$48,Índices!$B$6:$F$500,VLOOKUP(H$54,$L$7:$M$9,2,FALSE)+1,FALSE)/VLOOKUP(DATE(YEAR($B76),MONTH($B76)-1,1),Índices!$B$6:$F$500,VLOOKUP(H$54,$L$7:$M$9,2,FALSE)+1,FALSE)*G76</f>
        <v>1016.6351688910941</v>
      </c>
      <c r="I76" s="207">
        <f ca="1">Encargos!F39</f>
        <v>41371.407758806716</v>
      </c>
      <c r="J76" s="225">
        <f ca="1">VLOOKUP($B$48,Índices!$B$6:$F$500,VLOOKUP(J$54,$L$7:$M$9,2,FALSE)+1,FALSE)/VLOOKUP(DATE(YEAR($B76),MONTH($B76)-1,1),Índices!$B$6:$F$500,VLOOKUP(J$54,$L$7:$M$9,2,FALSE)+1,FALSE)*I76</f>
        <v>41410.232667386415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6208.4672547947703</v>
      </c>
      <c r="N76" s="225">
        <f ca="1">VLOOKUP($B$48,Índices!$B$6:$F$500,VLOOKUP(N$54,$L$7:$M$9,2,FALSE)+1,FALSE)/VLOOKUP(DATE(YEAR($B76),MONTH($B76)-1,1),Índices!$B$6:$F$500,VLOOKUP(N$54,$L$7:$M$9,2,FALSE)+1,FALSE)*M76</f>
        <v>6214.293577529369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870.67372474987769</v>
      </c>
      <c r="H77" s="225">
        <f ca="1">VLOOKUP($B$48,Índices!$B$6:$F$500,VLOOKUP(H$54,$L$7:$M$9,2,FALSE)+1,FALSE)/VLOOKUP(DATE(YEAR($B77),MONTH($B77)-1,1),Índices!$B$6:$F$500,VLOOKUP(H$54,$L$7:$M$9,2,FALSE)+1,FALSE)*G77</f>
        <v>867.41389825519127</v>
      </c>
      <c r="I77" s="207">
        <f ca="1">Encargos!F40</f>
        <v>34817.43101643672</v>
      </c>
      <c r="J77" s="225">
        <f ca="1">VLOOKUP($B$48,Índices!$B$6:$F$500,VLOOKUP(J$54,$L$7:$M$9,2,FALSE)+1,FALSE)/VLOOKUP(DATE(YEAR($B77),MONTH($B77)-1,1),Índices!$B$6:$F$500,VLOOKUP(J$54,$L$7:$M$9,2,FALSE)+1,FALSE)*I77</f>
        <v>34687.073592205379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5181.5134340770164</v>
      </c>
      <c r="N77" s="225">
        <f ca="1">VLOOKUP($B$48,Índices!$B$6:$F$500,VLOOKUP(N$54,$L$7:$M$9,2,FALSE)+1,FALSE)/VLOOKUP(DATE(YEAR($B77),MONTH($B77)-1,1),Índices!$B$6:$F$500,VLOOKUP(N$54,$L$7:$M$9,2,FALSE)+1,FALSE)*M77</f>
        <v>5162.1137045401792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1059.9170720580341</v>
      </c>
      <c r="H78" s="225">
        <f ca="1">VLOOKUP($B$48,Índices!$B$6:$F$500,VLOOKUP(H$54,$L$7:$M$9,2,FALSE)+1,FALSE)/VLOOKUP(DATE(YEAR($B78),MONTH($B78)-1,1),Índices!$B$6:$F$500,VLOOKUP(H$54,$L$7:$M$9,2,FALSE)+1,FALSE)*G78</f>
        <v>1048.9203411106844</v>
      </c>
      <c r="I78" s="207">
        <f ca="1">Encargos!F41</f>
        <v>44022.002446129161</v>
      </c>
      <c r="J78" s="225">
        <f ca="1">VLOOKUP($B$48,Índices!$B$6:$F$500,VLOOKUP(J$54,$L$7:$M$9,2,FALSE)+1,FALSE)/VLOOKUP(DATE(YEAR($B78),MONTH($B78)-1,1),Índices!$B$6:$F$500,VLOOKUP(J$54,$L$7:$M$9,2,FALSE)+1,FALSE)*I78</f>
        <v>43565.270377719615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6655.3906569280807</v>
      </c>
      <c r="N78" s="225">
        <f ca="1">VLOOKUP($B$48,Índices!$B$6:$F$500,VLOOKUP(N$54,$L$7:$M$9,2,FALSE)+1,FALSE)/VLOOKUP(DATE(YEAR($B78),MONTH($B78)-1,1),Índices!$B$6:$F$500,VLOOKUP(N$54,$L$7:$M$9,2,FALSE)+1,FALSE)*M78</f>
        <v>6586.3404054195962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1041.5830604468038</v>
      </c>
      <c r="H79" s="225">
        <f ca="1">VLOOKUP($B$48,Índices!$B$6:$F$500,VLOOKUP(H$54,$L$7:$M$9,2,FALSE)+1,FALSE)/VLOOKUP(DATE(YEAR($B79),MONTH($B79)-1,1),Índices!$B$6:$F$500,VLOOKUP(H$54,$L$7:$M$9,2,FALSE)+1,FALSE)*G79</f>
        <v>1037.8338520101952</v>
      </c>
      <c r="I79" s="207">
        <f ca="1">Encargos!F42</f>
        <v>38769.318299254053</v>
      </c>
      <c r="J79" s="225">
        <f ca="1">VLOOKUP($B$48,Índices!$B$6:$F$500,VLOOKUP(J$54,$L$7:$M$9,2,FALSE)+1,FALSE)/VLOOKUP(DATE(YEAR($B79),MONTH($B79)-1,1),Índices!$B$6:$F$500,VLOOKUP(J$54,$L$7:$M$9,2,FALSE)+1,FALSE)*I79</f>
        <v>38629.767013553639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5638.278077084804</v>
      </c>
      <c r="N79" s="225">
        <f ca="1">VLOOKUP($B$48,Índices!$B$6:$F$500,VLOOKUP(N$54,$L$7:$M$9,2,FALSE)+1,FALSE)/VLOOKUP(DATE(YEAR($B79),MONTH($B79)-1,1),Índices!$B$6:$F$500,VLOOKUP(N$54,$L$7:$M$9,2,FALSE)+1,FALSE)*M79</f>
        <v>5617.9829316112555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0">
        <f ca="1">SUM(C56:C79)</f>
        <v>0</v>
      </c>
      <c r="D80" s="1381">
        <f ca="1">SUM(D56:D79)</f>
        <v>0</v>
      </c>
      <c r="E80" s="1380">
        <f ca="1">SUM(E56:E79)</f>
        <v>0</v>
      </c>
      <c r="F80" s="1381">
        <f ca="1">SUM(F56:F79)</f>
        <v>0</v>
      </c>
      <c r="G80" s="1380">
        <f ca="1">SUM(G55:G79)</f>
        <v>4182.5068652970012</v>
      </c>
      <c r="H80" s="1380">
        <f t="shared" ref="H80:N80" ca="1" si="7">SUM(H55:H79)</f>
        <v>4204.1088071347203</v>
      </c>
      <c r="I80" s="1380">
        <f t="shared" ca="1" si="7"/>
        <v>179530.11565871397</v>
      </c>
      <c r="J80" s="1380">
        <f t="shared" ca="1" si="7"/>
        <v>181053.9608331761</v>
      </c>
      <c r="K80" s="1380">
        <f t="shared" ca="1" si="7"/>
        <v>0</v>
      </c>
      <c r="L80" s="1380">
        <f t="shared" ca="1" si="7"/>
        <v>0</v>
      </c>
      <c r="M80" s="1380">
        <f t="shared" ca="1" si="7"/>
        <v>27315.705437405079</v>
      </c>
      <c r="N80" s="1380">
        <f t="shared" ca="1" si="7"/>
        <v>27576.297970177777</v>
      </c>
      <c r="O80" s="1380">
        <f t="shared" ref="O80:R80" ca="1" si="8">SUM(O55:O79)</f>
        <v>0</v>
      </c>
      <c r="P80" s="1380">
        <f t="shared" ca="1" si="8"/>
        <v>0</v>
      </c>
      <c r="Q80" s="1380">
        <f t="shared" ca="1" si="8"/>
        <v>0</v>
      </c>
      <c r="R80" s="1380">
        <f t="shared" ca="1" si="8"/>
        <v>0</v>
      </c>
      <c r="S80" s="1380">
        <f t="shared" ref="S80:X80" si="9">SUM(S55:S79)</f>
        <v>0</v>
      </c>
      <c r="T80" s="1380">
        <f t="shared" si="9"/>
        <v>0</v>
      </c>
      <c r="U80" s="1380">
        <f t="shared" si="9"/>
        <v>0</v>
      </c>
      <c r="V80" s="1383">
        <f t="shared" si="9"/>
        <v>0</v>
      </c>
      <c r="W80" s="1380">
        <f t="shared" si="9"/>
        <v>0</v>
      </c>
      <c r="X80" s="1383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4" t="s">
        <v>1400</v>
      </c>
      <c r="D2" s="3" t="s">
        <v>1401</v>
      </c>
    </row>
    <row r="3" spans="2:15">
      <c r="B3" s="5"/>
    </row>
    <row r="6" spans="2:15">
      <c r="B6" s="1385" t="s">
        <v>1402</v>
      </c>
      <c r="C6" s="1385" t="s">
        <v>1403</v>
      </c>
      <c r="D6" s="1385" t="s">
        <v>772</v>
      </c>
      <c r="E6" s="6" t="s">
        <v>1404</v>
      </c>
      <c r="F6" s="6" t="s">
        <v>1405</v>
      </c>
      <c r="G6" s="1386" t="s">
        <v>1406</v>
      </c>
      <c r="K6" s="1468" t="s">
        <v>2124</v>
      </c>
      <c r="L6" s="1469" t="s">
        <v>37</v>
      </c>
      <c r="M6" s="1470" t="s">
        <v>2125</v>
      </c>
      <c r="N6" s="1469" t="s">
        <v>1322</v>
      </c>
      <c r="O6" s="1471" t="s">
        <v>2126</v>
      </c>
    </row>
    <row r="7" spans="2:15">
      <c r="B7" s="1387">
        <v>32629</v>
      </c>
      <c r="C7" s="1388">
        <v>2.5789999999999999E-5</v>
      </c>
      <c r="D7" s="1388">
        <v>3.4132578959999998E-4</v>
      </c>
      <c r="E7" s="1388">
        <v>0</v>
      </c>
      <c r="F7" s="1388">
        <v>1</v>
      </c>
      <c r="K7" s="1472">
        <v>42064</v>
      </c>
      <c r="L7" s="1473"/>
      <c r="M7" s="1474">
        <v>0</v>
      </c>
      <c r="N7" s="1475">
        <v>1</v>
      </c>
      <c r="O7" s="1475">
        <v>1</v>
      </c>
    </row>
    <row r="8" spans="2:15">
      <c r="B8" s="1387">
        <v>32660</v>
      </c>
      <c r="C8" s="1388">
        <v>3.0859999999999999E-5</v>
      </c>
      <c r="D8" s="1388">
        <v>4.3911559890000003E-4</v>
      </c>
      <c r="E8" s="1388">
        <v>0</v>
      </c>
      <c r="F8" s="1388">
        <v>1</v>
      </c>
      <c r="G8" s="10"/>
      <c r="K8" s="1472">
        <v>42065</v>
      </c>
      <c r="L8" s="1473" t="s">
        <v>2127</v>
      </c>
      <c r="M8" s="1474">
        <v>4.5512999999999998E-2</v>
      </c>
      <c r="N8" s="1475">
        <v>1.00045513</v>
      </c>
      <c r="O8" s="1475">
        <v>1.00045513</v>
      </c>
    </row>
    <row r="9" spans="2:15">
      <c r="B9" s="1387">
        <v>32690</v>
      </c>
      <c r="C9" s="1388">
        <v>4.1940000000000002E-5</v>
      </c>
      <c r="D9" s="1388">
        <v>5.6092617030000002E-4</v>
      </c>
      <c r="E9" s="1388">
        <v>0</v>
      </c>
      <c r="F9" s="1388">
        <v>1</v>
      </c>
      <c r="K9" s="1472">
        <v>42066</v>
      </c>
      <c r="L9" s="1473" t="s">
        <v>2127</v>
      </c>
      <c r="M9" s="1474">
        <v>4.5512999999999998E-2</v>
      </c>
      <c r="N9" s="1475">
        <v>1.0009104671433169</v>
      </c>
      <c r="O9" s="1475">
        <v>1.0009104671433169</v>
      </c>
    </row>
    <row r="10" spans="2:15">
      <c r="B10" s="1387">
        <v>32721</v>
      </c>
      <c r="C10" s="1388">
        <v>5.7429999999999997E-5</v>
      </c>
      <c r="D10" s="1388">
        <v>7.5001448160000002E-4</v>
      </c>
      <c r="E10" s="1388">
        <v>0</v>
      </c>
      <c r="F10" s="1388">
        <v>1</v>
      </c>
      <c r="K10" s="1472">
        <v>42067</v>
      </c>
      <c r="L10" s="1473" t="s">
        <v>2127</v>
      </c>
      <c r="M10" s="1474">
        <v>4.5512999999999998E-2</v>
      </c>
      <c r="N10" s="1475">
        <v>1.0013660115242278</v>
      </c>
      <c r="O10" s="1475">
        <v>1.0013660115242278</v>
      </c>
    </row>
    <row r="11" spans="2:15">
      <c r="B11" s="1387">
        <v>32752</v>
      </c>
      <c r="C11" s="1388">
        <v>8.0350000000000001E-5</v>
      </c>
      <c r="D11" s="1388">
        <v>1.031719911E-3</v>
      </c>
      <c r="E11" s="1388">
        <v>0</v>
      </c>
      <c r="F11" s="1388">
        <v>1</v>
      </c>
      <c r="K11" s="1472">
        <v>42068</v>
      </c>
      <c r="L11" s="1473" t="s">
        <v>2127</v>
      </c>
      <c r="M11" s="1474">
        <v>4.7279000000000002E-2</v>
      </c>
      <c r="N11" s="1475">
        <v>1.0018394473608161</v>
      </c>
      <c r="O11" s="1475">
        <v>1.0018394473608161</v>
      </c>
    </row>
    <row r="12" spans="2:15">
      <c r="B12" s="1387">
        <v>32782</v>
      </c>
      <c r="C12" s="1388">
        <v>1.13E-4</v>
      </c>
      <c r="D12" s="1388">
        <v>1.4420348808E-3</v>
      </c>
      <c r="E12" s="1388">
        <v>0</v>
      </c>
      <c r="F12" s="1388">
        <v>1</v>
      </c>
      <c r="K12" s="1472">
        <v>42069</v>
      </c>
      <c r="L12" s="1473" t="s">
        <v>2127</v>
      </c>
      <c r="M12" s="1474">
        <v>4.7279000000000002E-2</v>
      </c>
      <c r="N12" s="1475">
        <v>1.0023131070331337</v>
      </c>
      <c r="O12" s="1475">
        <v>1.0023131070331337</v>
      </c>
    </row>
    <row r="13" spans="2:15">
      <c r="B13" s="1387">
        <v>32813</v>
      </c>
      <c r="C13" s="1388">
        <v>1.5873999999999999E-4</v>
      </c>
      <c r="D13" s="1388">
        <v>2.1316159802999999E-3</v>
      </c>
      <c r="E13" s="1388">
        <v>0</v>
      </c>
      <c r="F13" s="1388">
        <v>1</v>
      </c>
      <c r="K13" s="1472">
        <v>42070</v>
      </c>
      <c r="L13" s="1473"/>
      <c r="M13" s="1474">
        <v>0</v>
      </c>
      <c r="N13" s="1475">
        <v>1.0023131070331337</v>
      </c>
      <c r="O13" s="1475">
        <v>1.0023131070331337</v>
      </c>
    </row>
    <row r="14" spans="2:15">
      <c r="B14" s="1387">
        <v>32843</v>
      </c>
      <c r="C14" s="1388">
        <v>2.3356000000000001E-4</v>
      </c>
      <c r="D14" s="1388">
        <v>3.2293981927000001E-3</v>
      </c>
      <c r="E14" s="1388">
        <v>0</v>
      </c>
      <c r="F14" s="1388">
        <v>1</v>
      </c>
      <c r="K14" s="1472">
        <v>42071</v>
      </c>
      <c r="L14" s="1473"/>
      <c r="M14" s="1474">
        <v>0</v>
      </c>
      <c r="N14" s="1475">
        <v>1.0023131070331337</v>
      </c>
      <c r="O14" s="1475">
        <v>1.0023131070331337</v>
      </c>
    </row>
    <row r="15" spans="2:15">
      <c r="B15" s="1387">
        <v>32874</v>
      </c>
      <c r="C15" s="1388">
        <v>3.7711E-4</v>
      </c>
      <c r="D15" s="1388">
        <v>5.4108567453999999E-3</v>
      </c>
      <c r="E15" s="1388">
        <v>0</v>
      </c>
      <c r="F15" s="1388">
        <v>1</v>
      </c>
      <c r="K15" s="1472">
        <v>42072</v>
      </c>
      <c r="L15" s="1473" t="s">
        <v>2127</v>
      </c>
      <c r="M15" s="1474">
        <v>4.7279000000000002E-2</v>
      </c>
      <c r="N15" s="1475">
        <v>1.0027869906470077</v>
      </c>
      <c r="O15" s="1475">
        <v>1.0027869906470077</v>
      </c>
    </row>
    <row r="16" spans="2:15">
      <c r="B16" s="1387">
        <v>32905</v>
      </c>
      <c r="C16" s="1388">
        <v>6.8364999999999995E-4</v>
      </c>
      <c r="D16" s="1388">
        <v>9.5084984832999996E-3</v>
      </c>
      <c r="E16" s="1388">
        <v>0</v>
      </c>
      <c r="F16" s="1388">
        <v>1</v>
      </c>
      <c r="K16" s="1472">
        <v>42073</v>
      </c>
      <c r="L16" s="1473" t="s">
        <v>2127</v>
      </c>
      <c r="M16" s="1474">
        <v>4.7279000000000002E-2</v>
      </c>
      <c r="N16" s="1475">
        <v>1.0032610983083157</v>
      </c>
      <c r="O16" s="1475">
        <v>1.0032610983083157</v>
      </c>
    </row>
    <row r="17" spans="2:15">
      <c r="B17" s="1387">
        <v>32933</v>
      </c>
      <c r="C17" s="1388">
        <v>1.2575500000000001E-3</v>
      </c>
      <c r="D17" s="1388">
        <v>1.7342550351000002E-2</v>
      </c>
      <c r="E17" s="1388">
        <v>0</v>
      </c>
      <c r="F17" s="1388">
        <v>1</v>
      </c>
      <c r="K17" s="1472">
        <v>42074</v>
      </c>
      <c r="L17" s="1473" t="s">
        <v>2127</v>
      </c>
      <c r="M17" s="1474">
        <v>4.7279000000000002E-2</v>
      </c>
      <c r="N17" s="1475">
        <v>1.0037354301229848</v>
      </c>
      <c r="O17" s="1475">
        <v>1.0037354301229848</v>
      </c>
    </row>
    <row r="18" spans="2:15">
      <c r="B18" s="1387">
        <v>32964</v>
      </c>
      <c r="C18" s="1388">
        <v>1.61407E-3</v>
      </c>
      <c r="D18" s="1388">
        <v>2.00341140678E-2</v>
      </c>
      <c r="E18" s="1388">
        <v>0</v>
      </c>
      <c r="F18" s="1388">
        <v>1</v>
      </c>
      <c r="K18" s="1472">
        <v>42075</v>
      </c>
      <c r="L18" s="1473" t="s">
        <v>2127</v>
      </c>
      <c r="M18" s="1474">
        <v>4.7279000000000002E-2</v>
      </c>
      <c r="N18" s="1475">
        <v>1.0042099861969926</v>
      </c>
      <c r="O18" s="1475">
        <v>1.0042099861969926</v>
      </c>
    </row>
    <row r="19" spans="2:15">
      <c r="B19" s="1387">
        <v>32994</v>
      </c>
      <c r="C19" s="1388">
        <v>1.70973E-3</v>
      </c>
      <c r="D19" s="1388">
        <v>2.1554703244099999E-2</v>
      </c>
      <c r="E19" s="1388">
        <v>0</v>
      </c>
      <c r="F19" s="1388">
        <v>1</v>
      </c>
      <c r="K19" s="1472">
        <v>42076</v>
      </c>
      <c r="L19" s="1473" t="s">
        <v>2127</v>
      </c>
      <c r="M19" s="1474">
        <v>4.7279000000000002E-2</v>
      </c>
      <c r="N19" s="1475">
        <v>1.0046847666363665</v>
      </c>
      <c r="O19" s="1475">
        <v>1.0046847666363665</v>
      </c>
    </row>
    <row r="20" spans="2:15">
      <c r="B20" s="1387">
        <v>33025</v>
      </c>
      <c r="C20" s="1388">
        <v>1.87962E-3</v>
      </c>
      <c r="D20" s="1388">
        <v>2.4087380951899998E-2</v>
      </c>
      <c r="E20" s="1388">
        <v>0</v>
      </c>
      <c r="F20" s="1388">
        <v>1</v>
      </c>
      <c r="K20" s="1472">
        <v>42077</v>
      </c>
      <c r="L20" s="1473"/>
      <c r="M20" s="1474">
        <v>0</v>
      </c>
      <c r="N20" s="1475">
        <v>1.0046847666363665</v>
      </c>
      <c r="O20" s="1475">
        <v>1.0046847666363665</v>
      </c>
    </row>
    <row r="21" spans="2:15">
      <c r="B21" s="1387">
        <v>33055</v>
      </c>
      <c r="C21" s="1388">
        <v>2.10539E-3</v>
      </c>
      <c r="D21" s="1388">
        <v>2.7199470492E-2</v>
      </c>
      <c r="E21" s="1388">
        <v>0</v>
      </c>
      <c r="F21" s="1388">
        <v>1</v>
      </c>
      <c r="K21" s="1472">
        <v>42078</v>
      </c>
      <c r="L21" s="1473"/>
      <c r="M21" s="1474">
        <v>0</v>
      </c>
      <c r="N21" s="1475">
        <v>1.0046847666363665</v>
      </c>
      <c r="O21" s="1475">
        <v>1.0046847666363665</v>
      </c>
    </row>
    <row r="22" spans="2:15">
      <c r="B22" s="1387">
        <v>33086</v>
      </c>
      <c r="C22" s="1388">
        <v>2.39215E-3</v>
      </c>
      <c r="D22" s="1388">
        <v>3.0702762318699998E-2</v>
      </c>
      <c r="E22" s="1388">
        <v>0</v>
      </c>
      <c r="F22" s="1388">
        <v>1</v>
      </c>
      <c r="K22" s="1472">
        <v>42079</v>
      </c>
      <c r="L22" s="1473" t="s">
        <v>2127</v>
      </c>
      <c r="M22" s="1474">
        <v>4.7279000000000002E-2</v>
      </c>
      <c r="N22" s="1475">
        <v>1.0051597715471845</v>
      </c>
      <c r="O22" s="1475">
        <v>1.0051597715471845</v>
      </c>
    </row>
    <row r="23" spans="2:15">
      <c r="B23" s="1387">
        <v>33117</v>
      </c>
      <c r="C23" s="1388">
        <v>2.6984000000000001E-3</v>
      </c>
      <c r="D23" s="1388">
        <v>3.51270304097E-2</v>
      </c>
      <c r="E23" s="1388">
        <v>0</v>
      </c>
      <c r="F23" s="1388">
        <v>1</v>
      </c>
      <c r="K23" s="1472">
        <v>42080</v>
      </c>
      <c r="L23" s="1473" t="s">
        <v>2127</v>
      </c>
      <c r="M23" s="1474">
        <v>4.7279000000000002E-2</v>
      </c>
      <c r="N23" s="1475">
        <v>1.0056350010355741</v>
      </c>
      <c r="O23" s="1475">
        <v>1.0056350010355741</v>
      </c>
    </row>
    <row r="24" spans="2:15">
      <c r="B24" s="1387">
        <v>33147</v>
      </c>
      <c r="C24" s="1388">
        <v>3.0483699999999999E-3</v>
      </c>
      <c r="D24" s="1388">
        <v>4.0171272055300002E-2</v>
      </c>
      <c r="E24" s="1388">
        <v>0</v>
      </c>
      <c r="F24" s="1388">
        <v>1</v>
      </c>
      <c r="K24" s="1472">
        <v>42081</v>
      </c>
      <c r="L24" s="1473" t="s">
        <v>2127</v>
      </c>
      <c r="M24" s="1474">
        <v>4.7279000000000002E-2</v>
      </c>
      <c r="N24" s="1475">
        <v>1.0061104552077136</v>
      </c>
      <c r="O24" s="1475">
        <v>1.0061104552077136</v>
      </c>
    </row>
    <row r="25" spans="2:15">
      <c r="B25" s="1387">
        <v>33178</v>
      </c>
      <c r="C25" s="1388">
        <v>3.5622900000000001E-3</v>
      </c>
      <c r="D25" s="1388">
        <v>4.6924062784199999E-2</v>
      </c>
      <c r="E25" s="1388">
        <v>0</v>
      </c>
      <c r="F25" s="1388">
        <v>1</v>
      </c>
      <c r="K25" s="1472">
        <v>42082</v>
      </c>
      <c r="L25" s="1473" t="s">
        <v>2127</v>
      </c>
      <c r="M25" s="1474">
        <v>4.7279000000000002E-2</v>
      </c>
      <c r="N25" s="1475">
        <v>1.0065861341698312</v>
      </c>
      <c r="O25" s="1475">
        <v>1.0065861341698312</v>
      </c>
    </row>
    <row r="26" spans="2:15">
      <c r="B26" s="1387">
        <v>33208</v>
      </c>
      <c r="C26" s="1388">
        <v>4.2034799999999999E-3</v>
      </c>
      <c r="D26" s="1388">
        <v>5.5576860018600002E-2</v>
      </c>
      <c r="E26" s="1388">
        <v>0</v>
      </c>
      <c r="F26" s="1388">
        <v>1</v>
      </c>
      <c r="K26" s="1472">
        <v>42083</v>
      </c>
      <c r="L26" s="1473" t="s">
        <v>2127</v>
      </c>
      <c r="M26" s="1474">
        <v>4.7279000000000002E-2</v>
      </c>
      <c r="N26" s="1475">
        <v>1.0070620380282054</v>
      </c>
      <c r="O26" s="1475">
        <v>1.0070620380282054</v>
      </c>
    </row>
    <row r="27" spans="2:15">
      <c r="B27" s="1387">
        <v>33239</v>
      </c>
      <c r="C27" s="1388">
        <v>4.9475200000000004E-3</v>
      </c>
      <c r="D27" s="1388">
        <v>6.7109058472399993E-2</v>
      </c>
      <c r="E27" s="1388">
        <v>0</v>
      </c>
      <c r="F27" s="1388">
        <v>1</v>
      </c>
      <c r="K27" s="1472">
        <v>42084</v>
      </c>
      <c r="L27" s="1473"/>
      <c r="M27" s="1474">
        <v>0</v>
      </c>
      <c r="N27" s="1475">
        <v>1.0070620380282054</v>
      </c>
      <c r="O27" s="1475">
        <v>1.0070620380282054</v>
      </c>
    </row>
    <row r="28" spans="2:15">
      <c r="B28" s="1387">
        <v>33270</v>
      </c>
      <c r="C28" s="1388">
        <v>5.9873900000000004E-3</v>
      </c>
      <c r="D28" s="1388">
        <v>8.1014388849100005E-2</v>
      </c>
      <c r="E28" s="1388">
        <v>0</v>
      </c>
      <c r="F28" s="1388">
        <v>1</v>
      </c>
      <c r="K28" s="1472">
        <v>42085</v>
      </c>
      <c r="L28" s="1473"/>
      <c r="M28" s="1474">
        <v>0</v>
      </c>
      <c r="N28" s="1475">
        <v>1.0070620380282054</v>
      </c>
      <c r="O28" s="1475">
        <v>1.0070620380282054</v>
      </c>
    </row>
    <row r="29" spans="2:15">
      <c r="B29" s="1387">
        <v>33298</v>
      </c>
      <c r="C29" s="1388">
        <v>6.5374099999999996E-3</v>
      </c>
      <c r="D29" s="1388">
        <v>9.0673647120300002E-2</v>
      </c>
      <c r="E29" s="1388">
        <v>0</v>
      </c>
      <c r="F29" s="1388">
        <v>1</v>
      </c>
      <c r="K29" s="1472">
        <v>42086</v>
      </c>
      <c r="L29" s="1473" t="s">
        <v>2127</v>
      </c>
      <c r="M29" s="1474">
        <v>4.7279000000000002E-2</v>
      </c>
      <c r="N29" s="1475">
        <v>1.0075381668891645</v>
      </c>
      <c r="O29" s="1475">
        <v>1.0075381668891645</v>
      </c>
    </row>
    <row r="30" spans="2:15">
      <c r="B30" s="1387">
        <v>33329</v>
      </c>
      <c r="C30" s="1388">
        <v>7.0477600000000001E-3</v>
      </c>
      <c r="D30" s="1388">
        <v>9.5197603525800006E-2</v>
      </c>
      <c r="E30" s="1388">
        <v>0</v>
      </c>
      <c r="F30" s="1388">
        <v>1</v>
      </c>
      <c r="K30" s="1472">
        <v>42087</v>
      </c>
      <c r="L30" s="1473" t="s">
        <v>2127</v>
      </c>
      <c r="M30" s="1474">
        <v>4.7279000000000002E-2</v>
      </c>
      <c r="N30" s="1475">
        <v>1.008014520859088</v>
      </c>
      <c r="O30" s="1475">
        <v>1.008014520859088</v>
      </c>
    </row>
    <row r="31" spans="2:15">
      <c r="B31" s="1387">
        <v>33359</v>
      </c>
      <c r="C31" s="1388">
        <v>7.57502E-3</v>
      </c>
      <c r="D31" s="1388">
        <v>0.10227253780620001</v>
      </c>
      <c r="E31" s="1388">
        <v>0</v>
      </c>
      <c r="F31" s="1388">
        <v>1</v>
      </c>
      <c r="K31" s="1472">
        <v>42088</v>
      </c>
      <c r="L31" s="1473" t="s">
        <v>2127</v>
      </c>
      <c r="M31" s="1474">
        <v>4.7279000000000002E-2</v>
      </c>
      <c r="N31" s="1475">
        <v>1.008491100044405</v>
      </c>
      <c r="O31" s="1475">
        <v>1.008491100044405</v>
      </c>
    </row>
    <row r="32" spans="2:15">
      <c r="B32" s="1387">
        <v>33390</v>
      </c>
      <c r="C32" s="1388">
        <v>8.2174099999999996E-3</v>
      </c>
      <c r="D32" s="1388">
        <v>0.113715813284</v>
      </c>
      <c r="E32" s="1388">
        <v>0</v>
      </c>
      <c r="F32" s="1388">
        <v>1</v>
      </c>
      <c r="K32" s="1472">
        <v>42089</v>
      </c>
      <c r="L32" s="1473" t="s">
        <v>2127</v>
      </c>
      <c r="M32" s="1474">
        <v>4.7279000000000002E-2</v>
      </c>
      <c r="N32" s="1475">
        <v>1.0089679045515949</v>
      </c>
      <c r="O32" s="1475">
        <v>1.0089679045515949</v>
      </c>
    </row>
    <row r="33" spans="2:15">
      <c r="B33" s="1387">
        <v>33420</v>
      </c>
      <c r="C33" s="1388">
        <v>9.3037399999999996E-3</v>
      </c>
      <c r="D33" s="1388">
        <v>0.12782677804270001</v>
      </c>
      <c r="E33" s="1388">
        <v>0</v>
      </c>
      <c r="F33" s="1388">
        <v>1</v>
      </c>
      <c r="K33" s="1472">
        <v>42090</v>
      </c>
      <c r="L33" s="1473" t="s">
        <v>2127</v>
      </c>
      <c r="M33" s="1474">
        <v>4.7279000000000002E-2</v>
      </c>
      <c r="N33" s="1475">
        <v>1.0094449344871876</v>
      </c>
      <c r="O33" s="1475">
        <v>1.0094449344871876</v>
      </c>
    </row>
    <row r="34" spans="2:15">
      <c r="B34" s="1387">
        <v>33451</v>
      </c>
      <c r="C34" s="1388">
        <v>1.072268E-2</v>
      </c>
      <c r="D34" s="1388">
        <v>0.14780665921940001</v>
      </c>
      <c r="E34" s="1389">
        <v>0</v>
      </c>
      <c r="F34" s="1389">
        <v>1</v>
      </c>
      <c r="K34" s="1472">
        <v>42091</v>
      </c>
      <c r="L34" s="1473"/>
      <c r="M34" s="1474">
        <v>0</v>
      </c>
      <c r="N34" s="1475">
        <v>1.0094449344871876</v>
      </c>
      <c r="O34" s="1475">
        <v>1.0094449344871876</v>
      </c>
    </row>
    <row r="35" spans="2:15">
      <c r="B35" s="1387">
        <v>33482</v>
      </c>
      <c r="C35" s="1388">
        <v>1.232337E-2</v>
      </c>
      <c r="D35" s="1388">
        <v>0.17090995992909999</v>
      </c>
      <c r="E35" s="1389">
        <v>0</v>
      </c>
      <c r="F35" s="1389">
        <v>1</v>
      </c>
      <c r="K35" s="1472">
        <v>42092</v>
      </c>
      <c r="L35" s="1473"/>
      <c r="M35" s="1474">
        <v>0</v>
      </c>
      <c r="N35" s="1475">
        <v>1.0094449344871876</v>
      </c>
      <c r="O35" s="1475">
        <v>1.0094449344871876</v>
      </c>
    </row>
    <row r="36" spans="2:15">
      <c r="B36" s="1387">
        <v>33512</v>
      </c>
      <c r="C36" s="1388">
        <v>1.5112230000000001E-2</v>
      </c>
      <c r="D36" s="1388">
        <v>0.20548432454660001</v>
      </c>
      <c r="E36" s="1389">
        <v>0</v>
      </c>
      <c r="F36" s="1389">
        <v>1</v>
      </c>
      <c r="K36" s="1472">
        <v>42093</v>
      </c>
      <c r="L36" s="1473" t="s">
        <v>2127</v>
      </c>
      <c r="M36" s="1474">
        <v>4.7279000000000002E-2</v>
      </c>
      <c r="N36" s="1475">
        <v>1.0099221899577637</v>
      </c>
      <c r="O36" s="1475">
        <v>1.0099221899577637</v>
      </c>
    </row>
    <row r="37" spans="2:15">
      <c r="B37" s="1387">
        <v>33543</v>
      </c>
      <c r="C37" s="1388">
        <v>1.8984250000000001E-2</v>
      </c>
      <c r="D37" s="1388">
        <v>0.2572875157699</v>
      </c>
      <c r="E37" s="1389">
        <v>0</v>
      </c>
      <c r="F37" s="1389">
        <v>1</v>
      </c>
      <c r="K37" s="1472">
        <v>42094</v>
      </c>
      <c r="L37" s="1473" t="s">
        <v>2127</v>
      </c>
      <c r="M37" s="1474">
        <v>4.7279000000000002E-2</v>
      </c>
      <c r="N37" s="1475">
        <v>1.0103996710699537</v>
      </c>
      <c r="O37" s="1475">
        <v>1.0103996710699537</v>
      </c>
    </row>
    <row r="38" spans="2:15">
      <c r="B38" s="1387">
        <v>33573</v>
      </c>
      <c r="C38" s="1388">
        <v>2.347107E-2</v>
      </c>
      <c r="D38" s="1388">
        <v>0.31828867732630001</v>
      </c>
      <c r="E38" s="1389">
        <v>0</v>
      </c>
      <c r="F38" s="1389">
        <v>1</v>
      </c>
      <c r="K38" s="1472">
        <v>42095</v>
      </c>
      <c r="L38" s="1473" t="s">
        <v>2127</v>
      </c>
      <c r="M38" s="1474">
        <v>4.7279000000000002E-2</v>
      </c>
      <c r="N38" s="1475">
        <v>1.0108773779304387</v>
      </c>
      <c r="O38" s="1475">
        <v>1.0108773779304387</v>
      </c>
    </row>
    <row r="39" spans="2:15">
      <c r="B39" s="1387">
        <v>33604</v>
      </c>
      <c r="C39" s="1388">
        <v>2.9000140000000001E-2</v>
      </c>
      <c r="D39" s="1388">
        <v>0.40085366056990002</v>
      </c>
      <c r="E39" s="1389">
        <v>0</v>
      </c>
      <c r="F39" s="1389">
        <v>1</v>
      </c>
      <c r="K39" s="1472">
        <v>42096</v>
      </c>
      <c r="L39" s="1473" t="s">
        <v>2127</v>
      </c>
      <c r="M39" s="1474">
        <v>4.7279000000000002E-2</v>
      </c>
      <c r="N39" s="1475">
        <v>1.0113553106459503</v>
      </c>
      <c r="O39" s="1475">
        <v>1.0113553106459503</v>
      </c>
    </row>
    <row r="40" spans="2:15">
      <c r="B40" s="1387">
        <v>33635</v>
      </c>
      <c r="C40" s="1388">
        <v>3.7078809999999997E-2</v>
      </c>
      <c r="D40" s="1388">
        <v>0.49834103072840003</v>
      </c>
      <c r="E40" s="1389">
        <v>0</v>
      </c>
      <c r="F40" s="1389">
        <v>1</v>
      </c>
      <c r="K40" s="1472">
        <v>42097</v>
      </c>
      <c r="L40" s="1473"/>
      <c r="M40" s="1474">
        <v>0</v>
      </c>
      <c r="N40" s="1475">
        <v>1.0113553106459503</v>
      </c>
      <c r="O40" s="1475">
        <v>1.0113553106459503</v>
      </c>
    </row>
    <row r="41" spans="2:15">
      <c r="B41" s="1387">
        <v>33664</v>
      </c>
      <c r="C41" s="1388">
        <v>4.501144E-2</v>
      </c>
      <c r="D41" s="1388">
        <v>0.60498746741809994</v>
      </c>
      <c r="E41" s="1389">
        <v>0</v>
      </c>
      <c r="F41" s="1389">
        <v>1</v>
      </c>
      <c r="K41" s="1472">
        <v>42098</v>
      </c>
      <c r="L41" s="1473"/>
      <c r="M41" s="1474">
        <v>0</v>
      </c>
      <c r="N41" s="1475">
        <v>1.0113553106459503</v>
      </c>
      <c r="O41" s="1475">
        <v>1.0113553106459503</v>
      </c>
    </row>
    <row r="42" spans="2:15">
      <c r="B42" s="1387">
        <v>33695</v>
      </c>
      <c r="C42" s="1388">
        <v>5.3986060000000002E-2</v>
      </c>
      <c r="D42" s="1388">
        <v>0.72556146522830001</v>
      </c>
      <c r="E42" s="1389">
        <v>0</v>
      </c>
      <c r="F42" s="1389">
        <v>1</v>
      </c>
      <c r="K42" s="1472">
        <v>42099</v>
      </c>
      <c r="L42" s="1473"/>
      <c r="M42" s="1474">
        <v>0</v>
      </c>
      <c r="N42" s="1475">
        <v>1.0113553106459503</v>
      </c>
      <c r="O42" s="1475">
        <v>1.0113553106459503</v>
      </c>
    </row>
    <row r="43" spans="2:15">
      <c r="B43" s="1387">
        <v>33725</v>
      </c>
      <c r="C43" s="1388">
        <v>6.5012799999999996E-2</v>
      </c>
      <c r="D43" s="1388">
        <v>0.90593616441860003</v>
      </c>
      <c r="E43" s="1389">
        <v>0</v>
      </c>
      <c r="F43" s="1389">
        <v>1</v>
      </c>
      <c r="K43" s="1472">
        <v>42100</v>
      </c>
      <c r="L43" s="1473" t="s">
        <v>2127</v>
      </c>
      <c r="M43" s="1474">
        <v>4.7279000000000002E-2</v>
      </c>
      <c r="N43" s="1475">
        <v>1.0118334693232705</v>
      </c>
      <c r="O43" s="1475">
        <v>1.0118334693232705</v>
      </c>
    </row>
    <row r="44" spans="2:15">
      <c r="B44" s="1387">
        <v>33756</v>
      </c>
      <c r="C44" s="1388">
        <v>8.0361459999999996E-2</v>
      </c>
      <c r="D44" s="1388">
        <v>1.0890285720637001</v>
      </c>
      <c r="E44" s="1389">
        <v>0</v>
      </c>
      <c r="F44" s="1389">
        <v>1</v>
      </c>
      <c r="K44" s="1472">
        <v>42101</v>
      </c>
      <c r="L44" s="1473" t="s">
        <v>2127</v>
      </c>
      <c r="M44" s="1474">
        <v>4.7279000000000002E-2</v>
      </c>
      <c r="N44" s="1475">
        <v>1.0123118540692317</v>
      </c>
      <c r="O44" s="1475">
        <v>1.0123118540692317</v>
      </c>
    </row>
    <row r="45" spans="2:15">
      <c r="B45" s="1387">
        <v>33786</v>
      </c>
      <c r="C45" s="1388">
        <v>9.7908469999999997E-2</v>
      </c>
      <c r="D45" s="1388">
        <v>1.3267641484791</v>
      </c>
      <c r="E45" s="1389">
        <v>0</v>
      </c>
      <c r="F45" s="1389">
        <v>1</v>
      </c>
      <c r="K45" s="1472">
        <v>42102</v>
      </c>
      <c r="L45" s="1473" t="s">
        <v>2127</v>
      </c>
      <c r="M45" s="1474">
        <v>4.7279000000000002E-2</v>
      </c>
      <c r="N45" s="1475">
        <v>1.0127904649907171</v>
      </c>
      <c r="O45" s="1475">
        <v>1.0127904649907171</v>
      </c>
    </row>
    <row r="46" spans="2:15">
      <c r="B46" s="1387">
        <v>33817</v>
      </c>
      <c r="C46" s="1388">
        <v>0.12202180999999999</v>
      </c>
      <c r="D46" s="1388">
        <v>1.6205100844213001</v>
      </c>
      <c r="E46" s="1389">
        <v>0</v>
      </c>
      <c r="F46" s="1389">
        <v>1</v>
      </c>
      <c r="K46" s="1472">
        <v>42103</v>
      </c>
      <c r="L46" s="1473" t="s">
        <v>2127</v>
      </c>
      <c r="M46" s="1474">
        <v>4.7279000000000002E-2</v>
      </c>
      <c r="N46" s="1475">
        <v>1.0132693021946599</v>
      </c>
      <c r="O46" s="1475">
        <v>1.0132693021946599</v>
      </c>
    </row>
    <row r="47" spans="2:15">
      <c r="B47" s="1387">
        <v>33848</v>
      </c>
      <c r="C47" s="1388">
        <v>0.15285811999999999</v>
      </c>
      <c r="D47" s="1388">
        <v>2.0196408623306001</v>
      </c>
      <c r="E47" s="1389">
        <v>0</v>
      </c>
      <c r="F47" s="1389">
        <v>1</v>
      </c>
      <c r="K47" s="1472">
        <v>42104</v>
      </c>
      <c r="L47" s="1473" t="s">
        <v>2127</v>
      </c>
      <c r="M47" s="1474">
        <v>4.7279000000000002E-2</v>
      </c>
      <c r="N47" s="1475">
        <v>1.0137483657880444</v>
      </c>
      <c r="O47" s="1475">
        <v>1.0137483657880444</v>
      </c>
    </row>
    <row r="48" spans="2:15">
      <c r="B48" s="1387">
        <v>33878</v>
      </c>
      <c r="C48" s="1388">
        <v>0.19376498</v>
      </c>
      <c r="D48" s="1388">
        <v>2.5293973801068002</v>
      </c>
      <c r="E48" s="1389">
        <v>0</v>
      </c>
      <c r="F48" s="1389">
        <v>1</v>
      </c>
      <c r="K48" s="1472">
        <v>42105</v>
      </c>
      <c r="L48" s="1473"/>
      <c r="M48" s="1474">
        <v>0</v>
      </c>
      <c r="N48" s="1475">
        <v>1.0137483657880444</v>
      </c>
      <c r="O48" s="1475">
        <v>1.0137483657880444</v>
      </c>
    </row>
    <row r="49" spans="2:15">
      <c r="B49" s="1387">
        <v>33909</v>
      </c>
      <c r="C49" s="1388">
        <v>0.23916162999999999</v>
      </c>
      <c r="D49" s="1388">
        <v>3.0982598885127999</v>
      </c>
      <c r="E49" s="1389">
        <v>0</v>
      </c>
      <c r="F49" s="1389">
        <v>1</v>
      </c>
      <c r="K49" s="1472">
        <v>42106</v>
      </c>
      <c r="L49" s="1473"/>
      <c r="M49" s="1474">
        <v>0</v>
      </c>
      <c r="N49" s="1475">
        <v>1.0137483657880444</v>
      </c>
      <c r="O49" s="1475">
        <v>1.0137483657880444</v>
      </c>
    </row>
    <row r="50" spans="2:15">
      <c r="B50" s="1387">
        <v>33939</v>
      </c>
      <c r="C50" s="1388">
        <v>0.29913278999999998</v>
      </c>
      <c r="D50" s="1388">
        <v>3.8802596550900001</v>
      </c>
      <c r="E50" s="1389">
        <v>0</v>
      </c>
      <c r="F50" s="1389">
        <v>1</v>
      </c>
      <c r="K50" s="1472">
        <v>42107</v>
      </c>
      <c r="L50" s="1473" t="s">
        <v>2127</v>
      </c>
      <c r="M50" s="1474">
        <v>4.7279000000000002E-2</v>
      </c>
      <c r="N50" s="1475">
        <v>1.0142276558779053</v>
      </c>
      <c r="O50" s="1475">
        <v>1.0142276558779053</v>
      </c>
    </row>
    <row r="51" spans="2:15">
      <c r="B51" s="1387">
        <v>33970</v>
      </c>
      <c r="C51" s="1388">
        <v>0.37638683000000001</v>
      </c>
      <c r="D51" s="1388">
        <v>5.0579166458253004</v>
      </c>
      <c r="E51" s="1389">
        <v>0</v>
      </c>
      <c r="F51" s="1389">
        <v>1</v>
      </c>
      <c r="K51" s="1472">
        <v>42108</v>
      </c>
      <c r="L51" s="1473" t="s">
        <v>2127</v>
      </c>
      <c r="M51" s="1474">
        <v>4.7279000000000002E-2</v>
      </c>
      <c r="N51" s="1475">
        <v>1.0147071725713277</v>
      </c>
      <c r="O51" s="1475">
        <v>1.0147071725713277</v>
      </c>
    </row>
    <row r="52" spans="2:15">
      <c r="B52" s="1387">
        <v>34001</v>
      </c>
      <c r="C52" s="1388">
        <v>0.48335073000000001</v>
      </c>
      <c r="D52" s="1388">
        <v>6.3213843084293</v>
      </c>
      <c r="E52" s="1389">
        <v>0</v>
      </c>
      <c r="F52" s="1389">
        <v>1</v>
      </c>
      <c r="K52" s="1472">
        <v>42109</v>
      </c>
      <c r="L52" s="1473" t="s">
        <v>2127</v>
      </c>
      <c r="M52" s="1474">
        <v>4.7279000000000002E-2</v>
      </c>
      <c r="N52" s="1475">
        <v>1.0151869159754476</v>
      </c>
      <c r="O52" s="1475">
        <v>1.0151869159754476</v>
      </c>
    </row>
    <row r="53" spans="2:15">
      <c r="B53" s="1387">
        <v>34029</v>
      </c>
      <c r="C53" s="1388">
        <v>0.61023090000000002</v>
      </c>
      <c r="D53" s="1388">
        <v>8.0445948724788998</v>
      </c>
      <c r="E53" s="1389">
        <v>0</v>
      </c>
      <c r="F53" s="1389">
        <v>1</v>
      </c>
      <c r="K53" s="1472">
        <v>42110</v>
      </c>
      <c r="L53" s="1473" t="s">
        <v>2127</v>
      </c>
      <c r="M53" s="1474">
        <v>4.7279000000000002E-2</v>
      </c>
      <c r="N53" s="1475">
        <v>1.0156668861974516</v>
      </c>
      <c r="O53" s="1475">
        <v>1.0156668861974516</v>
      </c>
    </row>
    <row r="54" spans="2:15">
      <c r="B54" s="1387">
        <v>34060</v>
      </c>
      <c r="C54" s="1388">
        <v>0.78617482000000005</v>
      </c>
      <c r="D54" s="1388">
        <v>10.2769672819025</v>
      </c>
      <c r="E54" s="1389">
        <v>0</v>
      </c>
      <c r="F54" s="1389">
        <v>1</v>
      </c>
      <c r="K54" s="1472">
        <v>42111</v>
      </c>
      <c r="L54" s="1473" t="s">
        <v>2127</v>
      </c>
      <c r="M54" s="1474">
        <v>4.7279000000000002E-2</v>
      </c>
      <c r="N54" s="1475">
        <v>1.0161470833445767</v>
      </c>
      <c r="O54" s="1475">
        <v>1.0161470833445767</v>
      </c>
    </row>
    <row r="55" spans="2:15">
      <c r="B55" s="1387">
        <v>34090</v>
      </c>
      <c r="C55" s="1388">
        <v>1.01968087</v>
      </c>
      <c r="D55" s="1388">
        <v>13.1226581300609</v>
      </c>
      <c r="E55" s="1389">
        <v>0</v>
      </c>
      <c r="F55" s="1389">
        <v>1</v>
      </c>
      <c r="K55" s="1472">
        <v>42112</v>
      </c>
      <c r="L55" s="1473"/>
      <c r="M55" s="1474">
        <v>0</v>
      </c>
      <c r="N55" s="1475">
        <v>1.0161470833445767</v>
      </c>
      <c r="O55" s="1475">
        <v>1.0161470833445767</v>
      </c>
    </row>
    <row r="56" spans="2:15">
      <c r="B56" s="1387">
        <v>34121</v>
      </c>
      <c r="C56" s="1388">
        <v>1.3408208699999999</v>
      </c>
      <c r="D56" s="1388">
        <v>17.068642979808899</v>
      </c>
      <c r="E56" s="1389">
        <v>0</v>
      </c>
      <c r="F56" s="1389">
        <v>1</v>
      </c>
      <c r="K56" s="1472">
        <v>42113</v>
      </c>
      <c r="L56" s="1473"/>
      <c r="M56" s="1474">
        <v>0</v>
      </c>
      <c r="N56" s="1475">
        <v>1.0161470833445767</v>
      </c>
      <c r="O56" s="1475">
        <v>1.0161470833445767</v>
      </c>
    </row>
    <row r="57" spans="2:15">
      <c r="B57" s="1387">
        <v>34151</v>
      </c>
      <c r="C57" s="1388">
        <v>1.75984608</v>
      </c>
      <c r="D57" s="1388">
        <v>22.312130761236201</v>
      </c>
      <c r="E57" s="1389">
        <v>0</v>
      </c>
      <c r="F57" s="1389">
        <v>1</v>
      </c>
      <c r="K57" s="1472">
        <v>42114</v>
      </c>
      <c r="L57" s="1473" t="s">
        <v>2127</v>
      </c>
      <c r="M57" s="1474">
        <v>4.7279000000000002E-2</v>
      </c>
      <c r="N57" s="1475">
        <v>1.0166275075241111</v>
      </c>
      <c r="O57" s="1475">
        <v>1.0166275075241111</v>
      </c>
    </row>
    <row r="58" spans="2:15">
      <c r="B58" s="1387">
        <v>34182</v>
      </c>
      <c r="C58" s="1388">
        <v>2.31923637</v>
      </c>
      <c r="D58" s="1388">
        <v>29.666210936414501</v>
      </c>
      <c r="E58" s="1389">
        <v>0</v>
      </c>
      <c r="F58" s="1389">
        <v>1</v>
      </c>
      <c r="K58" s="1472">
        <v>42115</v>
      </c>
      <c r="L58" s="1473"/>
      <c r="M58" s="1474">
        <v>0</v>
      </c>
      <c r="N58" s="1475">
        <v>1.0166275075241111</v>
      </c>
      <c r="O58" s="1475">
        <v>1.0166275075241111</v>
      </c>
    </row>
    <row r="59" spans="2:15">
      <c r="B59" s="1387">
        <v>34213</v>
      </c>
      <c r="C59" s="1388">
        <v>3.1375231000000001</v>
      </c>
      <c r="D59" s="1388">
        <v>40.254080730946797</v>
      </c>
      <c r="E59" s="1389">
        <v>0</v>
      </c>
      <c r="F59" s="1389">
        <v>1</v>
      </c>
      <c r="K59" s="1472">
        <v>42116</v>
      </c>
      <c r="L59" s="1473" t="s">
        <v>2127</v>
      </c>
      <c r="M59" s="1474">
        <v>4.7279000000000002E-2</v>
      </c>
      <c r="N59" s="1475">
        <v>1.0171081588433935</v>
      </c>
      <c r="O59" s="1475">
        <v>1.0171081588433935</v>
      </c>
    </row>
    <row r="60" spans="2:15">
      <c r="B60" s="1387">
        <v>34243</v>
      </c>
      <c r="C60" s="1388">
        <v>4.2367972299999996</v>
      </c>
      <c r="D60" s="1388">
        <v>53.908264834853298</v>
      </c>
      <c r="E60" s="1389">
        <v>0</v>
      </c>
      <c r="F60" s="1389">
        <v>1</v>
      </c>
      <c r="K60" s="1472">
        <v>42117</v>
      </c>
      <c r="L60" s="1473" t="s">
        <v>2127</v>
      </c>
      <c r="M60" s="1474">
        <v>4.7279000000000002E-2</v>
      </c>
      <c r="N60" s="1475">
        <v>1.0175890374098129</v>
      </c>
      <c r="O60" s="1475">
        <v>1.0175890374098129</v>
      </c>
    </row>
    <row r="61" spans="2:15">
      <c r="B61" s="1387">
        <v>34274</v>
      </c>
      <c r="C61" s="1388">
        <v>5.7685216500000003</v>
      </c>
      <c r="D61" s="1388">
        <v>73.078046584524003</v>
      </c>
      <c r="E61" s="1389">
        <v>0</v>
      </c>
      <c r="F61" s="1389">
        <v>1</v>
      </c>
      <c r="K61" s="1472">
        <v>42118</v>
      </c>
      <c r="L61" s="1473" t="s">
        <v>2127</v>
      </c>
      <c r="M61" s="1474">
        <v>4.7279000000000002E-2</v>
      </c>
      <c r="N61" s="1475">
        <v>1.0180701433308097</v>
      </c>
      <c r="O61" s="1475">
        <v>1.0180701433308097</v>
      </c>
    </row>
    <row r="62" spans="2:15">
      <c r="B62" s="1387">
        <v>34304</v>
      </c>
      <c r="C62" s="1388">
        <v>7.9792505900000004</v>
      </c>
      <c r="D62" s="1388">
        <v>100</v>
      </c>
      <c r="E62" s="1389">
        <v>0</v>
      </c>
      <c r="F62" s="1389">
        <v>1</v>
      </c>
      <c r="K62" s="1472">
        <v>42119</v>
      </c>
      <c r="L62" s="1473"/>
      <c r="M62" s="1474">
        <v>0</v>
      </c>
      <c r="N62" s="1475">
        <v>1.0180701433308097</v>
      </c>
      <c r="O62" s="1475">
        <v>1.0180701433308097</v>
      </c>
    </row>
    <row r="63" spans="2:15">
      <c r="B63" s="1387">
        <v>34335</v>
      </c>
      <c r="C63" s="1388">
        <v>11.0967647</v>
      </c>
      <c r="D63" s="1388">
        <v>141.31</v>
      </c>
      <c r="E63" s="1389">
        <v>0</v>
      </c>
      <c r="F63" s="1389">
        <v>1</v>
      </c>
      <c r="K63" s="1472">
        <v>42120</v>
      </c>
      <c r="L63" s="1473"/>
      <c r="M63" s="1474">
        <v>0</v>
      </c>
      <c r="N63" s="1475">
        <v>1.0180701433308097</v>
      </c>
      <c r="O63" s="1475">
        <v>1.0180701433308097</v>
      </c>
    </row>
    <row r="64" spans="2:15">
      <c r="B64" s="1387">
        <v>34366</v>
      </c>
      <c r="C64" s="1388">
        <v>15.62186911</v>
      </c>
      <c r="D64" s="1388">
        <v>198.22</v>
      </c>
      <c r="E64" s="1389">
        <v>0</v>
      </c>
      <c r="F64" s="1389">
        <v>1</v>
      </c>
      <c r="K64" s="1472">
        <v>42121</v>
      </c>
      <c r="L64" s="1473" t="s">
        <v>2127</v>
      </c>
      <c r="M64" s="1474">
        <v>4.7314000000000002E-2</v>
      </c>
      <c r="N64" s="1475">
        <v>1.0185518330384251</v>
      </c>
      <c r="O64" s="1475">
        <v>1.0185518330384251</v>
      </c>
    </row>
    <row r="65" spans="2:15">
      <c r="B65" s="1387">
        <v>34394</v>
      </c>
      <c r="C65" s="1388">
        <v>22.762782099999999</v>
      </c>
      <c r="D65" s="1388">
        <v>282.95999999999998</v>
      </c>
      <c r="E65" s="1389">
        <v>0</v>
      </c>
      <c r="F65" s="1389">
        <v>1</v>
      </c>
      <c r="K65" s="1472">
        <v>42122</v>
      </c>
      <c r="L65" s="1473" t="s">
        <v>2127</v>
      </c>
      <c r="M65" s="1474">
        <v>4.7350000000000003E-2</v>
      </c>
      <c r="N65" s="1475">
        <v>1.0190341173313688</v>
      </c>
      <c r="O65" s="1475">
        <v>1.0190341173313688</v>
      </c>
    </row>
    <row r="66" spans="2:15">
      <c r="B66" s="1387">
        <v>34425</v>
      </c>
      <c r="C66" s="1388">
        <v>32.074938510000003</v>
      </c>
      <c r="D66" s="1388">
        <v>403.73</v>
      </c>
      <c r="E66" s="1389">
        <v>0</v>
      </c>
      <c r="F66" s="1389">
        <v>1</v>
      </c>
      <c r="K66" s="1472">
        <v>42123</v>
      </c>
      <c r="L66" s="1473" t="s">
        <v>2127</v>
      </c>
      <c r="M66" s="1474">
        <v>4.7350000000000003E-2</v>
      </c>
      <c r="N66" s="1475">
        <v>1.0195166299859253</v>
      </c>
      <c r="O66" s="1475">
        <v>1.0195166299859253</v>
      </c>
    </row>
    <row r="67" spans="2:15">
      <c r="B67" s="1387">
        <v>34455</v>
      </c>
      <c r="C67" s="1388">
        <v>45.731576959999998</v>
      </c>
      <c r="D67" s="1388">
        <v>581.49</v>
      </c>
      <c r="E67" s="1389">
        <v>0</v>
      </c>
      <c r="F67" s="1389">
        <v>1</v>
      </c>
      <c r="K67" s="1472">
        <v>42124</v>
      </c>
      <c r="L67" s="1473" t="s">
        <v>2127</v>
      </c>
      <c r="M67" s="1474">
        <v>4.9036999999999997E-2</v>
      </c>
      <c r="N67" s="1475">
        <v>1.0200165703557715</v>
      </c>
      <c r="O67" s="1475">
        <v>1.0200165703557715</v>
      </c>
    </row>
    <row r="68" spans="2:15">
      <c r="B68" s="1387">
        <v>34486</v>
      </c>
      <c r="C68" s="1388">
        <v>66.408212939999999</v>
      </c>
      <c r="D68" s="1388">
        <v>857.29</v>
      </c>
      <c r="E68" s="1389">
        <v>0</v>
      </c>
      <c r="F68" s="1389">
        <v>1</v>
      </c>
      <c r="K68" s="1472">
        <v>42125</v>
      </c>
      <c r="L68" s="1473"/>
      <c r="M68" s="1474">
        <v>0</v>
      </c>
      <c r="N68" s="1475">
        <v>1.0200165703557715</v>
      </c>
      <c r="O68" s="1475">
        <v>1.0200165703557715</v>
      </c>
    </row>
    <row r="69" spans="2:15">
      <c r="B69" s="1387">
        <v>34516</v>
      </c>
      <c r="C69" s="1388">
        <v>92.968426030000003</v>
      </c>
      <c r="D69" s="1388">
        <v>915.93</v>
      </c>
      <c r="E69" s="1389">
        <v>0</v>
      </c>
      <c r="F69" s="1389">
        <v>1</v>
      </c>
      <c r="K69" s="1472">
        <v>42126</v>
      </c>
      <c r="L69" s="1473"/>
      <c r="M69" s="1474">
        <v>0</v>
      </c>
      <c r="N69" s="1475">
        <v>1.0200165703557715</v>
      </c>
      <c r="O69" s="1475">
        <v>1.0200165703557715</v>
      </c>
    </row>
    <row r="70" spans="2:15">
      <c r="B70" s="1387">
        <v>34547</v>
      </c>
      <c r="C70" s="1388">
        <v>100</v>
      </c>
      <c r="D70" s="1388">
        <v>932.97</v>
      </c>
      <c r="E70" s="1389">
        <v>1.0417031360600404</v>
      </c>
      <c r="F70" s="1389">
        <v>1.0417031360600404</v>
      </c>
      <c r="K70" s="1472">
        <v>42127</v>
      </c>
      <c r="L70" s="1473"/>
      <c r="M70" s="1474">
        <v>0</v>
      </c>
      <c r="N70" s="1475">
        <v>1.0200165703557715</v>
      </c>
      <c r="O70" s="1475">
        <v>1.0200165703557715</v>
      </c>
    </row>
    <row r="71" spans="2:15">
      <c r="B71" s="1387">
        <v>34578</v>
      </c>
      <c r="C71" s="1388">
        <v>101.751</v>
      </c>
      <c r="D71" s="1388">
        <v>947.24</v>
      </c>
      <c r="E71" s="1389">
        <v>1.040191380612066</v>
      </c>
      <c r="F71" s="1389">
        <v>1.0835706232862121</v>
      </c>
      <c r="K71" s="1472">
        <v>42128</v>
      </c>
      <c r="L71" s="1473" t="s">
        <v>2127</v>
      </c>
      <c r="M71" s="1474">
        <v>4.9036999999999997E-2</v>
      </c>
      <c r="N71" s="1475">
        <v>1.020516755881377</v>
      </c>
      <c r="O71" s="1475">
        <v>1.020516755881377</v>
      </c>
    </row>
    <row r="72" spans="2:15">
      <c r="B72" s="1387">
        <v>34608</v>
      </c>
      <c r="C72" s="1388">
        <v>103.602</v>
      </c>
      <c r="D72" s="1388">
        <v>972.06</v>
      </c>
      <c r="E72" s="1389">
        <v>1.0400235119965635</v>
      </c>
      <c r="F72" s="1389">
        <v>1.1269389251264317</v>
      </c>
      <c r="K72" s="1472">
        <v>42129</v>
      </c>
      <c r="L72" s="1473" t="s">
        <v>2127</v>
      </c>
      <c r="M72" s="1474">
        <v>4.9036999999999997E-2</v>
      </c>
      <c r="N72" s="1475">
        <v>1.0210171866829587</v>
      </c>
      <c r="O72" s="1475">
        <v>1.0210171866829587</v>
      </c>
    </row>
    <row r="73" spans="2:15">
      <c r="B73" s="1387">
        <v>34639</v>
      </c>
      <c r="C73" s="1388">
        <v>106.553</v>
      </c>
      <c r="D73" s="1388">
        <v>999.37</v>
      </c>
      <c r="E73" s="1389">
        <v>1.0448704061969656</v>
      </c>
      <c r="F73" s="1389">
        <v>1.1775051324560264</v>
      </c>
      <c r="K73" s="1472">
        <v>42130</v>
      </c>
      <c r="L73" s="1473" t="s">
        <v>2127</v>
      </c>
      <c r="M73" s="1474">
        <v>4.9036999999999997E-2</v>
      </c>
      <c r="N73" s="1475">
        <v>1.0215178628807926</v>
      </c>
      <c r="O73" s="1475">
        <v>1.0215178628807926</v>
      </c>
    </row>
    <row r="74" spans="2:15">
      <c r="B74" s="1387">
        <v>34669</v>
      </c>
      <c r="C74" s="1388">
        <v>107.45</v>
      </c>
      <c r="D74" s="1388">
        <v>1016.46</v>
      </c>
      <c r="E74" s="1389">
        <v>1.0379749903132509</v>
      </c>
      <c r="F74" s="1389">
        <v>1.2222208784548472</v>
      </c>
      <c r="K74" s="1472">
        <v>42131</v>
      </c>
      <c r="L74" s="1473" t="s">
        <v>2127</v>
      </c>
      <c r="M74" s="1474">
        <v>4.9036999999999997E-2</v>
      </c>
      <c r="N74" s="1475">
        <v>1.0220187845952136</v>
      </c>
      <c r="O74" s="1475">
        <v>1.0220187845952136</v>
      </c>
    </row>
    <row r="75" spans="2:15">
      <c r="B75" s="1387">
        <v>34700</v>
      </c>
      <c r="C75" s="1388">
        <v>108.44199999999999</v>
      </c>
      <c r="D75" s="1388">
        <v>1033.74</v>
      </c>
      <c r="E75" s="1389">
        <v>1.033745155557255</v>
      </c>
      <c r="F75" s="1389">
        <v>1.2634649121236308</v>
      </c>
      <c r="K75" s="1472">
        <v>42132</v>
      </c>
      <c r="L75" s="1473" t="s">
        <v>2127</v>
      </c>
      <c r="M75" s="1474">
        <v>4.9036999999999997E-2</v>
      </c>
      <c r="N75" s="1475">
        <v>1.0225199519466155</v>
      </c>
      <c r="O75" s="1475">
        <v>1.0225199519466155</v>
      </c>
    </row>
    <row r="76" spans="2:15">
      <c r="B76" s="1387">
        <v>34731</v>
      </c>
      <c r="C76" s="1388">
        <v>109.9455</v>
      </c>
      <c r="D76" s="1388">
        <v>1044.28</v>
      </c>
      <c r="E76" s="1389">
        <v>1.0361946548110796</v>
      </c>
      <c r="F76" s="1389">
        <v>1.3091955884838566</v>
      </c>
      <c r="K76" s="1472">
        <v>42133</v>
      </c>
      <c r="L76" s="1473"/>
      <c r="M76" s="1474">
        <v>0</v>
      </c>
      <c r="N76" s="1475">
        <v>1.0225199519466155</v>
      </c>
      <c r="O76" s="1475">
        <v>1.0225199519466155</v>
      </c>
    </row>
    <row r="77" spans="2:15">
      <c r="B77" s="1387">
        <v>34759</v>
      </c>
      <c r="C77" s="1388">
        <v>111.178</v>
      </c>
      <c r="D77" s="1388">
        <v>1060.47</v>
      </c>
      <c r="E77" s="1389">
        <v>1.0426211014987152</v>
      </c>
      <c r="F77" s="1389">
        <v>1.3649949465422972</v>
      </c>
      <c r="K77" s="1472">
        <v>42134</v>
      </c>
      <c r="L77" s="1473"/>
      <c r="M77" s="1474">
        <v>0</v>
      </c>
      <c r="N77" s="1475">
        <v>1.0225199519466155</v>
      </c>
      <c r="O77" s="1475">
        <v>1.0225199519466155</v>
      </c>
    </row>
    <row r="78" spans="2:15">
      <c r="B78" s="1387">
        <v>34790</v>
      </c>
      <c r="C78" s="1388">
        <v>113.518</v>
      </c>
      <c r="D78" s="1388">
        <v>1086.24</v>
      </c>
      <c r="E78" s="1389">
        <v>1.0502446731743562</v>
      </c>
      <c r="F78" s="1389">
        <v>1.4335786715159629</v>
      </c>
      <c r="K78" s="1472">
        <v>42135</v>
      </c>
      <c r="L78" s="1473" t="s">
        <v>2127</v>
      </c>
      <c r="M78" s="1474">
        <v>4.9036999999999997E-2</v>
      </c>
      <c r="N78" s="1475">
        <v>1.0230213650554516</v>
      </c>
      <c r="O78" s="1475">
        <v>1.0230213650554516</v>
      </c>
    </row>
    <row r="79" spans="2:15">
      <c r="B79" s="1387">
        <v>34820</v>
      </c>
      <c r="C79" s="1388">
        <v>114.17100000000001</v>
      </c>
      <c r="D79" s="1388">
        <v>1115.24</v>
      </c>
      <c r="E79" s="1389">
        <v>1.0450356278102417</v>
      </c>
      <c r="F79" s="1389">
        <v>1.4981407870030565</v>
      </c>
      <c r="K79" s="1472">
        <v>42136</v>
      </c>
      <c r="L79" s="1473" t="s">
        <v>2127</v>
      </c>
      <c r="M79" s="1474">
        <v>4.9036999999999997E-2</v>
      </c>
      <c r="N79" s="1475">
        <v>1.0235230240422339</v>
      </c>
      <c r="O79" s="1475">
        <v>1.0235230240422339</v>
      </c>
    </row>
    <row r="80" spans="2:15">
      <c r="B80" s="1387">
        <v>34851</v>
      </c>
      <c r="C80" s="1388">
        <v>116.98399999999999</v>
      </c>
      <c r="D80" s="1388">
        <v>1140.44</v>
      </c>
      <c r="E80" s="1389">
        <v>1.0423602226147934</v>
      </c>
      <c r="F80" s="1389">
        <v>1.5616023642488079</v>
      </c>
      <c r="K80" s="1472">
        <v>42137</v>
      </c>
      <c r="L80" s="1473" t="s">
        <v>2127</v>
      </c>
      <c r="M80" s="1474">
        <v>4.9036999999999997E-2</v>
      </c>
      <c r="N80" s="1475">
        <v>1.0240249290275336</v>
      </c>
      <c r="O80" s="1475">
        <v>1.0240249290275336</v>
      </c>
    </row>
    <row r="81" spans="2:15">
      <c r="B81" s="1387">
        <v>34881</v>
      </c>
      <c r="C81" s="1388">
        <v>119.114</v>
      </c>
      <c r="D81" s="1388">
        <v>1167.3499999999999</v>
      </c>
      <c r="E81" s="1389">
        <v>1.0402311780170954</v>
      </c>
      <c r="F81" s="1389">
        <v>1.6244274669568188</v>
      </c>
      <c r="K81" s="1472">
        <v>42138</v>
      </c>
      <c r="L81" s="1473" t="s">
        <v>2127</v>
      </c>
      <c r="M81" s="1474">
        <v>4.9036999999999997E-2</v>
      </c>
      <c r="N81" s="1475">
        <v>1.024527080131981</v>
      </c>
      <c r="O81" s="1475">
        <v>1.024527080131981</v>
      </c>
    </row>
    <row r="82" spans="2:15">
      <c r="B82" s="1387">
        <v>34912</v>
      </c>
      <c r="C82" s="1388">
        <v>121.729</v>
      </c>
      <c r="D82" s="1388">
        <v>1178.9100000000001</v>
      </c>
      <c r="E82" s="1388">
        <v>1.0383979241220025</v>
      </c>
      <c r="F82" s="1388">
        <v>1.6868021095747234</v>
      </c>
      <c r="G82" s="7">
        <v>41036.512291666666</v>
      </c>
      <c r="K82" s="1472">
        <v>42139</v>
      </c>
      <c r="L82" s="1473" t="s">
        <v>2127</v>
      </c>
      <c r="M82" s="1474">
        <v>4.9036999999999997E-2</v>
      </c>
      <c r="N82" s="1475">
        <v>1.0250294774762654</v>
      </c>
      <c r="O82" s="1475">
        <v>1.0250294774762654</v>
      </c>
    </row>
    <row r="83" spans="2:15">
      <c r="B83" s="1387">
        <v>34943</v>
      </c>
      <c r="C83" s="1388">
        <v>120.869</v>
      </c>
      <c r="D83" s="1388">
        <v>1190.58</v>
      </c>
      <c r="E83" s="1388">
        <v>1.0349384575781275</v>
      </c>
      <c r="F83" s="1388">
        <v>1.745736373522796</v>
      </c>
      <c r="K83" s="1472">
        <v>42140</v>
      </c>
      <c r="L83" s="1473"/>
      <c r="M83" s="1474">
        <v>0</v>
      </c>
      <c r="N83" s="1475">
        <v>1.0250294774762654</v>
      </c>
      <c r="O83" s="1475">
        <v>1.0250294774762654</v>
      </c>
    </row>
    <row r="84" spans="2:15">
      <c r="B84" s="1387">
        <v>34973</v>
      </c>
      <c r="C84" s="1388">
        <v>121.503</v>
      </c>
      <c r="D84" s="1388">
        <v>1207.3699999999999</v>
      </c>
      <c r="E84" s="1388">
        <v>1.0324041438440343</v>
      </c>
      <c r="F84" s="1388">
        <v>1.8023054660841915</v>
      </c>
      <c r="K84" s="1472">
        <v>42141</v>
      </c>
      <c r="L84" s="1473"/>
      <c r="M84" s="1474">
        <v>0</v>
      </c>
      <c r="N84" s="1475">
        <v>1.0250294774762654</v>
      </c>
      <c r="O84" s="1475">
        <v>1.0250294774762654</v>
      </c>
    </row>
    <row r="85" spans="2:15">
      <c r="B85" s="1387">
        <v>35004</v>
      </c>
      <c r="C85" s="1388">
        <v>122.955</v>
      </c>
      <c r="D85" s="1388">
        <v>1225.1199999999999</v>
      </c>
      <c r="E85" s="1388">
        <v>1.0316999077357936</v>
      </c>
      <c r="F85" s="1388">
        <v>1.8594383830707768</v>
      </c>
      <c r="K85" s="1472">
        <v>42142</v>
      </c>
      <c r="L85" s="1473" t="s">
        <v>2127</v>
      </c>
      <c r="M85" s="1474">
        <v>4.9036999999999997E-2</v>
      </c>
      <c r="N85" s="1475">
        <v>1.0255321211811355</v>
      </c>
      <c r="O85" s="1475">
        <v>1.0255321211811355</v>
      </c>
    </row>
    <row r="86" spans="2:15">
      <c r="B86" s="1387">
        <v>35034</v>
      </c>
      <c r="C86" s="1388">
        <v>123.833</v>
      </c>
      <c r="D86" s="1388">
        <v>1244.23</v>
      </c>
      <c r="E86" s="1388">
        <v>1.0292086837764389</v>
      </c>
      <c r="F86" s="1388">
        <v>1.913750130803664</v>
      </c>
      <c r="K86" s="1472">
        <v>42143</v>
      </c>
      <c r="L86" s="1473" t="s">
        <v>2127</v>
      </c>
      <c r="M86" s="1474">
        <v>4.9036999999999997E-2</v>
      </c>
      <c r="N86" s="1475">
        <v>1.0260350113673991</v>
      </c>
      <c r="O86" s="1475">
        <v>1.0260350113673991</v>
      </c>
    </row>
    <row r="87" spans="2:15">
      <c r="B87" s="1387">
        <v>35065</v>
      </c>
      <c r="C87" s="1388">
        <v>125.977</v>
      </c>
      <c r="D87" s="1388">
        <v>1260.9000000000001</v>
      </c>
      <c r="E87" s="1388">
        <v>1.0271429062533448</v>
      </c>
      <c r="F87" s="1388">
        <v>1.9656948711963942</v>
      </c>
      <c r="K87" s="1472">
        <v>42144</v>
      </c>
      <c r="L87" s="1473" t="s">
        <v>2127</v>
      </c>
      <c r="M87" s="1474">
        <v>4.9036999999999997E-2</v>
      </c>
      <c r="N87" s="1475">
        <v>1.0265381481559233</v>
      </c>
      <c r="O87" s="1475">
        <v>1.0265381481559233</v>
      </c>
    </row>
    <row r="88" spans="2:15">
      <c r="B88" s="1387">
        <v>35096</v>
      </c>
      <c r="C88" s="1388">
        <v>127.202</v>
      </c>
      <c r="D88" s="1388">
        <v>1273.8900000000001</v>
      </c>
      <c r="E88" s="1388">
        <v>1.026088709032714</v>
      </c>
      <c r="F88" s="1388">
        <v>2.0169773127381352</v>
      </c>
      <c r="K88" s="1472">
        <v>42145</v>
      </c>
      <c r="L88" s="1473" t="s">
        <v>2127</v>
      </c>
      <c r="M88" s="1474">
        <v>4.9036999999999997E-2</v>
      </c>
      <c r="N88" s="1475">
        <v>1.0270415316676345</v>
      </c>
      <c r="O88" s="1475">
        <v>1.0270415316676345</v>
      </c>
    </row>
    <row r="89" spans="2:15">
      <c r="B89" s="1387">
        <v>35125</v>
      </c>
      <c r="C89" s="1388">
        <v>127.715</v>
      </c>
      <c r="D89" s="1388">
        <v>1278.3499999999999</v>
      </c>
      <c r="E89" s="1388">
        <v>1.0222082178682002</v>
      </c>
      <c r="F89" s="1388">
        <v>2.0617707843346404</v>
      </c>
      <c r="K89" s="1472">
        <v>42146</v>
      </c>
      <c r="L89" s="1473" t="s">
        <v>2127</v>
      </c>
      <c r="M89" s="1474">
        <v>4.9036999999999997E-2</v>
      </c>
      <c r="N89" s="1475">
        <v>1.0275451620235183</v>
      </c>
      <c r="O89" s="1475">
        <v>1.0275451620235183</v>
      </c>
    </row>
    <row r="90" spans="2:15">
      <c r="B90" s="1387">
        <v>35156</v>
      </c>
      <c r="C90" s="1388">
        <v>128.13</v>
      </c>
      <c r="D90" s="1388">
        <v>1294.46</v>
      </c>
      <c r="E90" s="1388">
        <v>1.0227569082086725</v>
      </c>
      <c r="F90" s="1388">
        <v>2.1086903128210666</v>
      </c>
      <c r="K90" s="1472">
        <v>42147</v>
      </c>
      <c r="L90" s="1473"/>
      <c r="M90" s="1474">
        <v>0</v>
      </c>
      <c r="N90" s="1475">
        <v>1.0275451620235183</v>
      </c>
      <c r="O90" s="1475">
        <v>1.0275451620235183</v>
      </c>
    </row>
    <row r="91" spans="2:15">
      <c r="B91" s="1387">
        <v>35186</v>
      </c>
      <c r="C91" s="1388">
        <v>130.12100000000001</v>
      </c>
      <c r="D91" s="1388">
        <v>1310.25</v>
      </c>
      <c r="E91" s="1388">
        <v>1.0210626514511167</v>
      </c>
      <c r="F91" s="1388">
        <v>2.1531049218983629</v>
      </c>
      <c r="K91" s="1472">
        <v>42148</v>
      </c>
      <c r="L91" s="1473"/>
      <c r="M91" s="1474">
        <v>0</v>
      </c>
      <c r="N91" s="1475">
        <v>1.0275451620235183</v>
      </c>
      <c r="O91" s="1475">
        <v>1.0275451620235183</v>
      </c>
    </row>
    <row r="92" spans="2:15">
      <c r="B92" s="1387">
        <v>35217</v>
      </c>
      <c r="C92" s="1388">
        <v>131.44499999999999</v>
      </c>
      <c r="D92" s="1388">
        <v>1325.84</v>
      </c>
      <c r="E92" s="1388">
        <v>1.020826552130859</v>
      </c>
      <c r="F92" s="1388">
        <v>2.1979466737974884</v>
      </c>
      <c r="K92" s="1472">
        <v>42149</v>
      </c>
      <c r="L92" s="1473" t="s">
        <v>2127</v>
      </c>
      <c r="M92" s="1474">
        <v>4.9036999999999997E-2</v>
      </c>
      <c r="N92" s="1475">
        <v>1.0280490393446198</v>
      </c>
      <c r="O92" s="1475">
        <v>1.0280490393446198</v>
      </c>
    </row>
    <row r="93" spans="2:15">
      <c r="B93" s="1387">
        <v>35247</v>
      </c>
      <c r="C93" s="1388">
        <v>133.21299999999999</v>
      </c>
      <c r="D93" s="1388">
        <v>1340.56</v>
      </c>
      <c r="E93" s="1388">
        <v>1.0192856968560815</v>
      </c>
      <c r="F93" s="1388">
        <v>2.2403356070541793</v>
      </c>
      <c r="K93" s="1472">
        <v>42150</v>
      </c>
      <c r="L93" s="1473" t="s">
        <v>2127</v>
      </c>
      <c r="M93" s="1474">
        <v>4.9036999999999997E-2</v>
      </c>
      <c r="N93" s="1475">
        <v>1.0285531637520433</v>
      </c>
      <c r="O93" s="1475">
        <v>1.0285531637520433</v>
      </c>
    </row>
    <row r="94" spans="2:15">
      <c r="B94" s="1387">
        <v>35278</v>
      </c>
      <c r="C94" s="1388">
        <v>133.58699999999999</v>
      </c>
      <c r="D94" s="1388">
        <v>1346.46</v>
      </c>
      <c r="E94" s="1388">
        <v>1.0196791435025818</v>
      </c>
      <c r="F94" s="1388">
        <v>2.2844234929593421</v>
      </c>
      <c r="K94" s="1472">
        <v>42151</v>
      </c>
      <c r="L94" s="1473" t="s">
        <v>2127</v>
      </c>
      <c r="M94" s="1474">
        <v>4.9036999999999997E-2</v>
      </c>
      <c r="N94" s="1475">
        <v>1.0290575353669524</v>
      </c>
      <c r="O94" s="1475">
        <v>1.0290575353669524</v>
      </c>
    </row>
    <row r="95" spans="2:15">
      <c r="B95" s="1387">
        <v>35309</v>
      </c>
      <c r="C95" s="1388">
        <v>133.72200000000001</v>
      </c>
      <c r="D95" s="1388">
        <v>1348.48</v>
      </c>
      <c r="E95" s="1388">
        <v>1.0190405257020327</v>
      </c>
      <c r="F95" s="1388">
        <v>2.3279201171913617</v>
      </c>
      <c r="K95" s="1472">
        <v>42152</v>
      </c>
      <c r="L95" s="1473" t="s">
        <v>2127</v>
      </c>
      <c r="M95" s="1474">
        <v>4.9036999999999997E-2</v>
      </c>
      <c r="N95" s="1475">
        <v>1.0295621543105704</v>
      </c>
      <c r="O95" s="1475">
        <v>1.0295621543105704</v>
      </c>
    </row>
    <row r="96" spans="2:15">
      <c r="B96" s="1387">
        <v>35339</v>
      </c>
      <c r="C96" s="1388">
        <v>133.97800000000001</v>
      </c>
      <c r="D96" s="1388">
        <v>1352.53</v>
      </c>
      <c r="E96" s="1388">
        <v>1.0194350405573067</v>
      </c>
      <c r="F96" s="1388">
        <v>2.3731633390831459</v>
      </c>
      <c r="K96" s="1472">
        <v>42153</v>
      </c>
      <c r="L96" s="1473" t="s">
        <v>2127</v>
      </c>
      <c r="M96" s="1474">
        <v>4.9036999999999997E-2</v>
      </c>
      <c r="N96" s="1475">
        <v>1.0300670207041798</v>
      </c>
      <c r="O96" s="1475">
        <v>1.0300670207041798</v>
      </c>
    </row>
    <row r="97" spans="2:15">
      <c r="B97" s="1387">
        <v>35370</v>
      </c>
      <c r="C97" s="1388">
        <v>134.24199999999999</v>
      </c>
      <c r="D97" s="1388">
        <v>1356.86</v>
      </c>
      <c r="E97" s="1388">
        <v>1.018952291397875</v>
      </c>
      <c r="F97" s="1388">
        <v>2.4181402222202037</v>
      </c>
      <c r="K97" s="1472">
        <v>42154</v>
      </c>
      <c r="L97" s="1473"/>
      <c r="M97" s="1474">
        <v>0</v>
      </c>
      <c r="N97" s="1475">
        <v>1.0300670207041798</v>
      </c>
      <c r="O97" s="1475">
        <v>1.0300670207041798</v>
      </c>
    </row>
    <row r="98" spans="2:15">
      <c r="B98" s="1387">
        <v>35400</v>
      </c>
      <c r="C98" s="1388">
        <v>135.22499999999999</v>
      </c>
      <c r="D98" s="1388">
        <v>1363.24</v>
      </c>
      <c r="E98" s="1388">
        <v>1.0189221360623306</v>
      </c>
      <c r="F98" s="1388">
        <v>2.4638966005228489</v>
      </c>
      <c r="K98" s="1472">
        <v>42155</v>
      </c>
      <c r="L98" s="1473"/>
      <c r="M98" s="1474">
        <v>0</v>
      </c>
      <c r="N98" s="1475">
        <v>1.0300670207041798</v>
      </c>
      <c r="O98" s="1475">
        <v>1.0300670207041798</v>
      </c>
    </row>
    <row r="99" spans="2:15">
      <c r="B99" s="1387">
        <v>35431</v>
      </c>
      <c r="C99" s="1388">
        <v>137.613</v>
      </c>
      <c r="D99" s="1388">
        <v>1379.33</v>
      </c>
      <c r="E99" s="1388">
        <v>1.0182168360386268</v>
      </c>
      <c r="F99" s="1388">
        <v>2.5087810009107034</v>
      </c>
      <c r="K99" s="1472">
        <v>42156</v>
      </c>
      <c r="L99" s="1473" t="s">
        <v>2127</v>
      </c>
      <c r="M99" s="1474">
        <v>4.9036999999999997E-2</v>
      </c>
      <c r="N99" s="1475">
        <v>1.0305721346691226</v>
      </c>
      <c r="O99" s="1475">
        <v>1.0305721346691226</v>
      </c>
    </row>
    <row r="100" spans="2:15">
      <c r="B100" s="1387">
        <v>35462</v>
      </c>
      <c r="C100" s="1388">
        <v>138.20400000000001</v>
      </c>
      <c r="D100" s="1388">
        <v>1386.23</v>
      </c>
      <c r="E100" s="1388">
        <v>1.018615977536991</v>
      </c>
      <c r="F100" s="1388">
        <v>2.5554844116688868</v>
      </c>
      <c r="K100" s="1472">
        <v>42157</v>
      </c>
      <c r="L100" s="1473" t="s">
        <v>2127</v>
      </c>
      <c r="M100" s="1474">
        <v>4.9036999999999997E-2</v>
      </c>
      <c r="N100" s="1475">
        <v>1.0310774963268003</v>
      </c>
      <c r="O100" s="1475">
        <v>1.0310774963268003</v>
      </c>
    </row>
    <row r="101" spans="2:15">
      <c r="B101" s="1387">
        <v>35490</v>
      </c>
      <c r="C101" s="1388">
        <v>139.79499999999999</v>
      </c>
      <c r="D101" s="1388">
        <v>1393.3</v>
      </c>
      <c r="E101" s="1388">
        <v>1.0181653196053577</v>
      </c>
      <c r="F101" s="1388">
        <v>2.6019056027533618</v>
      </c>
      <c r="K101" s="1472">
        <v>42158</v>
      </c>
      <c r="L101" s="1473" t="s">
        <v>2127</v>
      </c>
      <c r="M101" s="1474">
        <v>4.9036999999999997E-2</v>
      </c>
      <c r="N101" s="1475">
        <v>1.0315831057986742</v>
      </c>
      <c r="O101" s="1475">
        <v>1.0315831057986742</v>
      </c>
    </row>
    <row r="102" spans="2:15">
      <c r="B102" s="1387">
        <v>35521</v>
      </c>
      <c r="C102" s="1388">
        <v>140.74199999999999</v>
      </c>
      <c r="D102" s="1388">
        <v>1405.56</v>
      </c>
      <c r="E102" s="1388">
        <v>1.0174130782041242</v>
      </c>
      <c r="F102" s="1388">
        <v>2.6472127884938548</v>
      </c>
      <c r="K102" s="1472">
        <v>42159</v>
      </c>
      <c r="L102" s="1473"/>
      <c r="M102" s="1474">
        <v>0</v>
      </c>
      <c r="N102" s="1475">
        <v>1.0315831057986742</v>
      </c>
      <c r="O102" s="1475">
        <v>1.0315831057986742</v>
      </c>
    </row>
    <row r="103" spans="2:15">
      <c r="B103" s="1387">
        <v>35551</v>
      </c>
      <c r="C103" s="1388">
        <v>141.04</v>
      </c>
      <c r="D103" s="1388">
        <v>1411.32</v>
      </c>
      <c r="E103" s="1388">
        <v>1.0173859708262292</v>
      </c>
      <c r="F103" s="1388">
        <v>2.6932371528054295</v>
      </c>
      <c r="K103" s="1472">
        <v>42160</v>
      </c>
      <c r="L103" s="1473" t="s">
        <v>2127</v>
      </c>
      <c r="M103" s="1474">
        <v>5.0788E-2</v>
      </c>
      <c r="N103" s="1475">
        <v>1.0321070262264471</v>
      </c>
      <c r="O103" s="1475">
        <v>1.0321070262264471</v>
      </c>
    </row>
    <row r="104" spans="2:15">
      <c r="B104" s="1387">
        <v>35582</v>
      </c>
      <c r="C104" s="1388">
        <v>142.09</v>
      </c>
      <c r="D104" s="1388">
        <v>1418.94</v>
      </c>
      <c r="E104" s="1388">
        <v>1.0160683269749473</v>
      </c>
      <c r="F104" s="1388">
        <v>2.7365129679977831</v>
      </c>
      <c r="K104" s="1472">
        <v>42161</v>
      </c>
      <c r="L104" s="1473"/>
      <c r="M104" s="1474">
        <v>0</v>
      </c>
      <c r="N104" s="1475">
        <v>1.0321070262264471</v>
      </c>
      <c r="O104" s="1475">
        <v>1.0321070262264471</v>
      </c>
    </row>
    <row r="105" spans="2:15">
      <c r="B105" s="1387">
        <v>35612</v>
      </c>
      <c r="C105" s="1388">
        <v>142.221</v>
      </c>
      <c r="D105" s="1388">
        <v>1422.06</v>
      </c>
      <c r="E105" s="1388">
        <v>1.0160384417373229</v>
      </c>
      <c r="F105" s="1388">
        <v>2.7804023717984441</v>
      </c>
      <c r="K105" s="1472">
        <v>42162</v>
      </c>
      <c r="L105" s="1473"/>
      <c r="M105" s="1474">
        <v>0</v>
      </c>
      <c r="N105" s="1475">
        <v>1.0321070262264471</v>
      </c>
      <c r="O105" s="1475">
        <v>1.0321070262264471</v>
      </c>
    </row>
    <row r="106" spans="2:15">
      <c r="B106" s="1387">
        <v>35643</v>
      </c>
      <c r="C106" s="1388">
        <v>142.35300000000001</v>
      </c>
      <c r="D106" s="1388">
        <v>1421.78</v>
      </c>
      <c r="E106" s="1388">
        <v>1.0158585469231169</v>
      </c>
      <c r="F106" s="1388">
        <v>2.8244955132767555</v>
      </c>
      <c r="K106" s="1472">
        <v>42163</v>
      </c>
      <c r="L106" s="1473" t="s">
        <v>2127</v>
      </c>
      <c r="M106" s="1474">
        <v>5.0788E-2</v>
      </c>
      <c r="N106" s="1475">
        <v>1.0326312127429271</v>
      </c>
      <c r="O106" s="1475">
        <v>1.0326312127429271</v>
      </c>
    </row>
    <row r="107" spans="2:15">
      <c r="B107" s="1387">
        <v>35674</v>
      </c>
      <c r="C107" s="1388">
        <v>143.042</v>
      </c>
      <c r="D107" s="1388">
        <v>1422.63</v>
      </c>
      <c r="E107" s="1388">
        <v>1.0159028051900765</v>
      </c>
      <c r="F107" s="1388">
        <v>2.869412915184641</v>
      </c>
      <c r="K107" s="1472">
        <v>42164</v>
      </c>
      <c r="L107" s="1473" t="s">
        <v>2127</v>
      </c>
      <c r="M107" s="1474">
        <v>5.0788E-2</v>
      </c>
      <c r="N107" s="1475">
        <v>1.033155665483255</v>
      </c>
      <c r="O107" s="1475">
        <v>1.033155665483255</v>
      </c>
    </row>
    <row r="108" spans="2:15">
      <c r="B108" s="1387">
        <v>35704</v>
      </c>
      <c r="C108" s="1388">
        <v>143.56700000000001</v>
      </c>
      <c r="D108" s="1388">
        <v>1425.9</v>
      </c>
      <c r="E108" s="1388">
        <v>1.0167288802763557</v>
      </c>
      <c r="F108" s="1388">
        <v>2.9174149803061935</v>
      </c>
      <c r="K108" s="1472">
        <v>42165</v>
      </c>
      <c r="L108" s="1473" t="s">
        <v>2127</v>
      </c>
      <c r="M108" s="1474">
        <v>5.0788E-2</v>
      </c>
      <c r="N108" s="1475">
        <v>1.0336803845826406</v>
      </c>
      <c r="O108" s="1475">
        <v>1.0336803845826406</v>
      </c>
    </row>
    <row r="109" spans="2:15">
      <c r="B109" s="1387">
        <v>35735</v>
      </c>
      <c r="C109" s="1388">
        <v>144.48099999999999</v>
      </c>
      <c r="D109" s="1388">
        <v>1428.32</v>
      </c>
      <c r="E109" s="1388">
        <v>1.0304347964479648</v>
      </c>
      <c r="F109" s="1388">
        <v>3.0062059113860555</v>
      </c>
      <c r="K109" s="1472">
        <v>42166</v>
      </c>
      <c r="L109" s="1473" t="s">
        <v>2127</v>
      </c>
      <c r="M109" s="1474">
        <v>5.0788E-2</v>
      </c>
      <c r="N109" s="1475">
        <v>1.0342053701763625</v>
      </c>
      <c r="O109" s="1475">
        <v>1.0342053701763625</v>
      </c>
    </row>
    <row r="110" spans="2:15">
      <c r="B110" s="1387">
        <v>35765</v>
      </c>
      <c r="C110" s="1388">
        <v>145.69499999999999</v>
      </c>
      <c r="D110" s="1388">
        <v>1434.46</v>
      </c>
      <c r="E110" s="1388">
        <v>1.0311549813439238</v>
      </c>
      <c r="F110" s="1388">
        <v>3.0998642004712815</v>
      </c>
      <c r="K110" s="1472">
        <v>42167</v>
      </c>
      <c r="L110" s="1473" t="s">
        <v>2127</v>
      </c>
      <c r="M110" s="1474">
        <v>5.0788E-2</v>
      </c>
      <c r="N110" s="1475">
        <v>1.0347306223997677</v>
      </c>
      <c r="O110" s="1475">
        <v>1.0347306223997677</v>
      </c>
    </row>
    <row r="111" spans="2:15">
      <c r="B111" s="1387">
        <v>35796</v>
      </c>
      <c r="C111" s="1388">
        <v>147.09100000000001</v>
      </c>
      <c r="D111" s="1388">
        <v>1444.64</v>
      </c>
      <c r="E111" s="1388">
        <v>1.0280960413836384</v>
      </c>
      <c r="F111" s="1388">
        <v>3.1869581133313818</v>
      </c>
      <c r="K111" s="1472">
        <v>42168</v>
      </c>
      <c r="L111" s="1473"/>
      <c r="M111" s="1474">
        <v>0</v>
      </c>
      <c r="N111" s="1475">
        <v>1.0347306223997677</v>
      </c>
      <c r="O111" s="1475">
        <v>1.0347306223997677</v>
      </c>
    </row>
    <row r="112" spans="2:15">
      <c r="B112" s="1387">
        <v>35827</v>
      </c>
      <c r="C112" s="1388">
        <v>147.35599999999999</v>
      </c>
      <c r="D112" s="1388">
        <v>1451.29</v>
      </c>
      <c r="E112" s="1388">
        <v>1.0236711069024262</v>
      </c>
      <c r="F112" s="1388">
        <v>3.2623969395256034</v>
      </c>
      <c r="K112" s="1472">
        <v>42169</v>
      </c>
      <c r="L112" s="1473"/>
      <c r="M112" s="1474">
        <v>0</v>
      </c>
      <c r="N112" s="1475">
        <v>1.0347306223997677</v>
      </c>
      <c r="O112" s="1475">
        <v>1.0347306223997677</v>
      </c>
    </row>
    <row r="113" spans="2:15">
      <c r="B113" s="1387">
        <v>35855</v>
      </c>
      <c r="C113" s="1388">
        <v>147.63499999999999</v>
      </c>
      <c r="D113" s="1388">
        <v>1456.22</v>
      </c>
      <c r="E113" s="1388">
        <v>1.0220072916308196</v>
      </c>
      <c r="F113" s="1388">
        <v>3.3341934603892365</v>
      </c>
      <c r="K113" s="1472">
        <v>42170</v>
      </c>
      <c r="L113" s="1473" t="s">
        <v>2127</v>
      </c>
      <c r="M113" s="1474">
        <v>5.0788E-2</v>
      </c>
      <c r="N113" s="1475">
        <v>1.0352561413882722</v>
      </c>
      <c r="O113" s="1475">
        <v>1.0352561413882722</v>
      </c>
    </row>
    <row r="114" spans="2:15">
      <c r="B114" s="1387">
        <v>35886</v>
      </c>
      <c r="C114" s="1388">
        <v>147.821</v>
      </c>
      <c r="D114" s="1388">
        <v>1459.71</v>
      </c>
      <c r="E114" s="1388">
        <v>1.0199031041694671</v>
      </c>
      <c r="F114" s="1388">
        <v>3.4005542601525192</v>
      </c>
      <c r="K114" s="1472">
        <v>42171</v>
      </c>
      <c r="L114" s="1473" t="s">
        <v>2127</v>
      </c>
      <c r="M114" s="1474">
        <v>5.0788E-2</v>
      </c>
      <c r="N114" s="1475">
        <v>1.0357819272773605</v>
      </c>
      <c r="O114" s="1475">
        <v>1.0357819272773605</v>
      </c>
    </row>
    <row r="115" spans="2:15">
      <c r="B115" s="1387">
        <v>35916</v>
      </c>
      <c r="C115" s="1388">
        <v>148.02099999999999</v>
      </c>
      <c r="D115" s="1388">
        <v>1467.01</v>
      </c>
      <c r="E115" s="1388">
        <v>1.0171306475499944</v>
      </c>
      <c r="F115" s="1388">
        <v>3.4588079566578238</v>
      </c>
      <c r="K115" s="1472">
        <v>42172</v>
      </c>
      <c r="L115" s="1473" t="s">
        <v>2127</v>
      </c>
      <c r="M115" s="1474">
        <v>5.0788E-2</v>
      </c>
      <c r="N115" s="1475">
        <v>1.0363079802025861</v>
      </c>
      <c r="O115" s="1475">
        <v>1.0363079802025861</v>
      </c>
    </row>
    <row r="116" spans="2:15">
      <c r="B116" s="1387">
        <v>35947</v>
      </c>
      <c r="C116" s="1388">
        <v>148.58799999999999</v>
      </c>
      <c r="D116" s="1388">
        <v>1467.3</v>
      </c>
      <c r="E116" s="1388">
        <v>1.0167959651913006</v>
      </c>
      <c r="F116" s="1388">
        <v>3.5169019747012422</v>
      </c>
      <c r="K116" s="1472">
        <v>42173</v>
      </c>
      <c r="L116" s="1473" t="s">
        <v>2127</v>
      </c>
      <c r="M116" s="1474">
        <v>5.0788E-2</v>
      </c>
      <c r="N116" s="1475">
        <v>1.0368343002995715</v>
      </c>
      <c r="O116" s="1475">
        <v>1.0368343002995715</v>
      </c>
    </row>
    <row r="117" spans="2:15">
      <c r="B117" s="1387">
        <v>35977</v>
      </c>
      <c r="C117" s="1388">
        <v>148.339</v>
      </c>
      <c r="D117" s="1388">
        <v>1465.54</v>
      </c>
      <c r="E117" s="1388">
        <v>1.0170373206405035</v>
      </c>
      <c r="F117" s="1388">
        <v>3.5768205613054471</v>
      </c>
      <c r="K117" s="1472">
        <v>42174</v>
      </c>
      <c r="L117" s="1473" t="s">
        <v>2127</v>
      </c>
      <c r="M117" s="1474">
        <v>5.0788E-2</v>
      </c>
      <c r="N117" s="1475">
        <v>1.0373608877040077</v>
      </c>
      <c r="O117" s="1475">
        <v>1.0373608877040077</v>
      </c>
    </row>
    <row r="118" spans="2:15">
      <c r="B118" s="1387">
        <v>36008</v>
      </c>
      <c r="C118" s="1388">
        <v>148.10900000000001</v>
      </c>
      <c r="D118" s="1388">
        <v>1458.07</v>
      </c>
      <c r="E118" s="1388">
        <v>1.0147631694962493</v>
      </c>
      <c r="F118" s="1388">
        <v>3.6296257695096692</v>
      </c>
      <c r="K118" s="1472">
        <v>42175</v>
      </c>
      <c r="L118" s="1473"/>
      <c r="M118" s="1474">
        <v>0</v>
      </c>
      <c r="N118" s="1475">
        <v>1.0373608877040077</v>
      </c>
      <c r="O118" s="1475">
        <v>1.0373608877040077</v>
      </c>
    </row>
    <row r="119" spans="2:15">
      <c r="B119" s="1387">
        <v>36039</v>
      </c>
      <c r="C119" s="1388">
        <v>147.98400000000001</v>
      </c>
      <c r="D119" s="1388">
        <v>1454.86</v>
      </c>
      <c r="E119" s="1388">
        <v>1.0255896332244516</v>
      </c>
      <c r="F119" s="1388">
        <v>3.7225065616934394</v>
      </c>
      <c r="K119" s="1472">
        <v>42176</v>
      </c>
      <c r="L119" s="1473"/>
      <c r="M119" s="1474">
        <v>0</v>
      </c>
      <c r="N119" s="1475">
        <v>1.0373608877040077</v>
      </c>
      <c r="O119" s="1475">
        <v>1.0373608877040077</v>
      </c>
    </row>
    <row r="120" spans="2:15">
      <c r="B120" s="1387">
        <v>36069</v>
      </c>
      <c r="C120" s="1388">
        <v>148.1</v>
      </c>
      <c r="D120" s="1388">
        <v>1455.15</v>
      </c>
      <c r="E120" s="1388">
        <v>1.0308188720930029</v>
      </c>
      <c r="F120" s="1388">
        <v>3.8372300152836338</v>
      </c>
      <c r="K120" s="1472">
        <v>42177</v>
      </c>
      <c r="L120" s="1473" t="s">
        <v>2127</v>
      </c>
      <c r="M120" s="1474">
        <v>5.0788E-2</v>
      </c>
      <c r="N120" s="1475">
        <v>1.0378877425516548</v>
      </c>
      <c r="O120" s="1475">
        <v>1.0378877425516548</v>
      </c>
    </row>
    <row r="121" spans="2:15">
      <c r="B121" s="1387">
        <v>36100</v>
      </c>
      <c r="C121" s="1388">
        <v>147.62799999999999</v>
      </c>
      <c r="D121" s="1388">
        <v>1453.4</v>
      </c>
      <c r="E121" s="1388">
        <v>1.0277678356785036</v>
      </c>
      <c r="F121" s="1388">
        <v>3.9437815878086515</v>
      </c>
      <c r="K121" s="1472">
        <v>42178</v>
      </c>
      <c r="L121" s="1473" t="s">
        <v>2127</v>
      </c>
      <c r="M121" s="1474">
        <v>5.0788E-2</v>
      </c>
      <c r="N121" s="1475">
        <v>1.038414864978342</v>
      </c>
      <c r="O121" s="1475">
        <v>1.038414864978342</v>
      </c>
    </row>
    <row r="122" spans="2:15">
      <c r="B122" s="1387">
        <v>36130</v>
      </c>
      <c r="C122" s="1388">
        <v>148.291</v>
      </c>
      <c r="D122" s="1388">
        <v>1458.2</v>
      </c>
      <c r="E122" s="1388">
        <v>1.025049538167373</v>
      </c>
      <c r="F122" s="1388">
        <v>4.0425714952162473</v>
      </c>
      <c r="K122" s="1472">
        <v>42179</v>
      </c>
      <c r="L122" s="1473" t="s">
        <v>2127</v>
      </c>
      <c r="M122" s="1474">
        <v>5.0788E-2</v>
      </c>
      <c r="N122" s="1475">
        <v>1.0389422551199672</v>
      </c>
      <c r="O122" s="1475">
        <v>1.0389422551199672</v>
      </c>
    </row>
    <row r="123" spans="2:15">
      <c r="B123" s="1387">
        <v>36161</v>
      </c>
      <c r="C123" s="1388">
        <v>149.53299999999999</v>
      </c>
      <c r="D123" s="1388">
        <v>1468.41</v>
      </c>
      <c r="E123" s="1388">
        <v>1.022811290449001</v>
      </c>
      <c r="F123" s="1388">
        <v>4.1347877677544771</v>
      </c>
      <c r="K123" s="1472">
        <v>42180</v>
      </c>
      <c r="L123" s="1473" t="s">
        <v>2127</v>
      </c>
      <c r="M123" s="1474">
        <v>5.0788E-2</v>
      </c>
      <c r="N123" s="1475">
        <v>1.0394699131124976</v>
      </c>
      <c r="O123" s="1475">
        <v>1.0394699131124976</v>
      </c>
    </row>
    <row r="124" spans="2:15">
      <c r="B124" s="1387">
        <v>36192</v>
      </c>
      <c r="C124" s="1388">
        <v>154.93299999999999</v>
      </c>
      <c r="D124" s="1388">
        <v>1483.83</v>
      </c>
      <c r="E124" s="1388">
        <v>1.0264662861429437</v>
      </c>
      <c r="F124" s="1388">
        <v>4.2442202439562102</v>
      </c>
      <c r="K124" s="1472">
        <v>42181</v>
      </c>
      <c r="L124" s="1473" t="s">
        <v>2127</v>
      </c>
      <c r="M124" s="1474">
        <v>5.0788E-2</v>
      </c>
      <c r="N124" s="1475">
        <v>1.0399978390919691</v>
      </c>
      <c r="O124" s="1475">
        <v>1.0399978390919691</v>
      </c>
    </row>
    <row r="125" spans="2:15">
      <c r="B125" s="1387">
        <v>36220</v>
      </c>
      <c r="C125" s="1388">
        <v>159.32499999999999</v>
      </c>
      <c r="D125" s="1388">
        <v>1500.15</v>
      </c>
      <c r="E125" s="1388">
        <v>1.033345195070198</v>
      </c>
      <c r="F125" s="1388">
        <v>4.3857445959118131</v>
      </c>
      <c r="K125" s="1472">
        <v>42182</v>
      </c>
      <c r="L125" s="1473"/>
      <c r="M125" s="1474">
        <v>0</v>
      </c>
      <c r="N125" s="1475">
        <v>1.0399978390919691</v>
      </c>
      <c r="O125" s="1475">
        <v>1.0399978390919691</v>
      </c>
    </row>
    <row r="126" spans="2:15">
      <c r="B126" s="1387">
        <v>36251</v>
      </c>
      <c r="C126" s="1388">
        <v>160.459</v>
      </c>
      <c r="D126" s="1388">
        <v>1508.55</v>
      </c>
      <c r="E126" s="1388">
        <v>1.027563660965396</v>
      </c>
      <c r="F126" s="1388">
        <v>4.5066317730343437</v>
      </c>
      <c r="K126" s="1472">
        <v>42183</v>
      </c>
      <c r="L126" s="1473"/>
      <c r="M126" s="1474">
        <v>0</v>
      </c>
      <c r="N126" s="1475">
        <v>1.0399978390919691</v>
      </c>
      <c r="O126" s="1475">
        <v>1.0399978390919691</v>
      </c>
    </row>
    <row r="127" spans="2:15">
      <c r="B127" s="1387">
        <v>36281</v>
      </c>
      <c r="C127" s="1388">
        <v>159.99600000000001</v>
      </c>
      <c r="D127" s="1388">
        <v>1513.08</v>
      </c>
      <c r="E127" s="1388">
        <v>1.0201883000304468</v>
      </c>
      <c r="F127" s="1388">
        <v>4.5976130073951058</v>
      </c>
      <c r="K127" s="1472">
        <v>42184</v>
      </c>
      <c r="L127" s="1473" t="s">
        <v>2127</v>
      </c>
      <c r="M127" s="1474">
        <v>5.0788E-2</v>
      </c>
      <c r="N127" s="1475">
        <v>1.0405260331944872</v>
      </c>
      <c r="O127" s="1475">
        <v>1.0405260331944872</v>
      </c>
    </row>
    <row r="128" spans="2:15">
      <c r="B128" s="1387">
        <v>36312</v>
      </c>
      <c r="C128" s="1388">
        <v>160.57300000000001</v>
      </c>
      <c r="D128" s="1388">
        <v>1515.95</v>
      </c>
      <c r="E128" s="1388">
        <v>1.0175637707499077</v>
      </c>
      <c r="F128" s="1388">
        <v>4.6783644282537873</v>
      </c>
      <c r="K128" s="1472">
        <v>42185</v>
      </c>
      <c r="L128" s="1473" t="s">
        <v>2127</v>
      </c>
      <c r="M128" s="1474">
        <v>5.0788E-2</v>
      </c>
      <c r="N128" s="1475">
        <v>1.041054495556226</v>
      </c>
      <c r="O128" s="1475">
        <v>1.041054495556226</v>
      </c>
    </row>
    <row r="129" spans="2:15">
      <c r="B129" s="1387">
        <v>36342</v>
      </c>
      <c r="C129" s="1388">
        <v>163.06</v>
      </c>
      <c r="D129" s="1388">
        <v>1532.47</v>
      </c>
      <c r="E129" s="1388">
        <v>1.0165876375704719</v>
      </c>
      <c r="F129" s="1388">
        <v>4.7559674418122491</v>
      </c>
      <c r="K129" s="1472">
        <v>42186</v>
      </c>
      <c r="L129" s="1473" t="s">
        <v>2127</v>
      </c>
      <c r="M129" s="1474">
        <v>5.0788E-2</v>
      </c>
      <c r="N129" s="1475">
        <v>1.041583226313429</v>
      </c>
      <c r="O129" s="1475">
        <v>1.041583226313429</v>
      </c>
    </row>
    <row r="130" spans="2:15">
      <c r="B130" s="1387">
        <v>36373</v>
      </c>
      <c r="C130" s="1388">
        <v>165.60300000000001</v>
      </c>
      <c r="D130" s="1388">
        <v>1541.05</v>
      </c>
      <c r="E130" s="1388">
        <v>1.0156847483880824</v>
      </c>
      <c r="F130" s="1388">
        <v>4.8305635944789866</v>
      </c>
      <c r="K130" s="1472">
        <v>42187</v>
      </c>
      <c r="L130" s="1473" t="s">
        <v>2127</v>
      </c>
      <c r="M130" s="1474">
        <v>5.0788E-2</v>
      </c>
      <c r="N130" s="1475">
        <v>1.0421122256024091</v>
      </c>
      <c r="O130" s="1475">
        <v>1.0421122256024091</v>
      </c>
    </row>
    <row r="131" spans="2:15">
      <c r="B131" s="1387">
        <v>36404</v>
      </c>
      <c r="C131" s="1388">
        <v>167.99700000000001</v>
      </c>
      <c r="D131" s="1388">
        <v>1545.83</v>
      </c>
      <c r="E131" s="1388">
        <v>1.0155901672784533</v>
      </c>
      <c r="F131" s="1388">
        <v>4.9058728889661207</v>
      </c>
      <c r="K131" s="1472">
        <v>42188</v>
      </c>
      <c r="L131" s="1473" t="s">
        <v>2127</v>
      </c>
      <c r="M131" s="1474">
        <v>5.0788E-2</v>
      </c>
      <c r="N131" s="1475">
        <v>1.042641493559548</v>
      </c>
      <c r="O131" s="1475">
        <v>1.042641493559548</v>
      </c>
    </row>
    <row r="132" spans="2:15">
      <c r="B132" s="1387">
        <v>36434</v>
      </c>
      <c r="C132" s="1388">
        <v>170.86099999999999</v>
      </c>
      <c r="D132" s="1388">
        <v>1564.23</v>
      </c>
      <c r="E132" s="1388">
        <v>1.0145370189540868</v>
      </c>
      <c r="F132" s="1388">
        <v>4.9771896561393616</v>
      </c>
      <c r="K132" s="1472">
        <v>42189</v>
      </c>
      <c r="L132" s="1473"/>
      <c r="M132" s="1474">
        <v>0</v>
      </c>
      <c r="N132" s="1475">
        <v>1.042641493559548</v>
      </c>
      <c r="O132" s="1475">
        <v>1.042641493559548</v>
      </c>
    </row>
    <row r="133" spans="2:15">
      <c r="B133" s="1387">
        <v>36465</v>
      </c>
      <c r="C133" s="1388">
        <v>174.93899999999999</v>
      </c>
      <c r="D133" s="1388">
        <v>1579.09</v>
      </c>
      <c r="E133" s="1388">
        <v>1.0152599173733607</v>
      </c>
      <c r="F133" s="1388">
        <v>5.0531411590435944</v>
      </c>
      <c r="K133" s="1472">
        <v>42190</v>
      </c>
      <c r="L133" s="1473"/>
      <c r="M133" s="1474">
        <v>0</v>
      </c>
      <c r="N133" s="1475">
        <v>1.042641493559548</v>
      </c>
      <c r="O133" s="1475">
        <v>1.042641493559548</v>
      </c>
    </row>
    <row r="134" spans="2:15">
      <c r="B134" s="1387">
        <v>36495</v>
      </c>
      <c r="C134" s="1388">
        <v>178.09899999999999</v>
      </c>
      <c r="D134" s="1388">
        <v>1588.56</v>
      </c>
      <c r="E134" s="1388">
        <v>1.0159962861507461</v>
      </c>
      <c r="F134" s="1388">
        <v>5.1339726509837682</v>
      </c>
      <c r="K134" s="1472">
        <v>42191</v>
      </c>
      <c r="L134" s="1473" t="s">
        <v>2127</v>
      </c>
      <c r="M134" s="1474">
        <v>5.0788E-2</v>
      </c>
      <c r="N134" s="1475">
        <v>1.0431710303212971</v>
      </c>
      <c r="O134" s="1475">
        <v>1.0431710303212971</v>
      </c>
    </row>
    <row r="135" spans="2:15">
      <c r="B135" s="1387">
        <v>36526</v>
      </c>
      <c r="C135" s="1388">
        <v>180.30099999999999</v>
      </c>
      <c r="D135" s="1388">
        <v>1598.41</v>
      </c>
      <c r="E135" s="1388">
        <v>1.0145573263269665</v>
      </c>
      <c r="F135" s="1388">
        <v>5.20870956621786</v>
      </c>
      <c r="K135" s="1472">
        <v>42192</v>
      </c>
      <c r="L135" s="1473" t="s">
        <v>2127</v>
      </c>
      <c r="M135" s="1474">
        <v>5.0788E-2</v>
      </c>
      <c r="N135" s="1475">
        <v>1.0437008360241766</v>
      </c>
      <c r="O135" s="1475">
        <v>1.0437008360241766</v>
      </c>
    </row>
    <row r="136" spans="2:15">
      <c r="B136" s="1387">
        <v>36557</v>
      </c>
      <c r="C136" s="1388">
        <v>180.935</v>
      </c>
      <c r="D136" s="1388">
        <v>1600.49</v>
      </c>
      <c r="E136" s="1388">
        <v>1.0145089461247463</v>
      </c>
      <c r="F136" s="1388">
        <v>5.2842824526935654</v>
      </c>
      <c r="K136" s="1472">
        <v>42193</v>
      </c>
      <c r="L136" s="1473" t="s">
        <v>2127</v>
      </c>
      <c r="M136" s="1474">
        <v>5.0788E-2</v>
      </c>
      <c r="N136" s="1475">
        <v>1.0442309108047767</v>
      </c>
      <c r="O136" s="1475">
        <v>1.0442309108047767</v>
      </c>
    </row>
    <row r="137" spans="2:15">
      <c r="B137" s="1387">
        <v>36586</v>
      </c>
      <c r="C137" s="1388">
        <v>181.214</v>
      </c>
      <c r="D137" s="1388">
        <v>1604.01</v>
      </c>
      <c r="E137" s="1388">
        <v>1.0158860407835757</v>
      </c>
      <c r="F137" s="1388">
        <v>5.3682287792489891</v>
      </c>
      <c r="K137" s="1472">
        <v>42194</v>
      </c>
      <c r="L137" s="1473" t="s">
        <v>2127</v>
      </c>
      <c r="M137" s="1474">
        <v>5.0788E-2</v>
      </c>
      <c r="N137" s="1475">
        <v>1.0447612547997562</v>
      </c>
      <c r="O137" s="1475">
        <v>1.0447612547997562</v>
      </c>
    </row>
    <row r="138" spans="2:15">
      <c r="B138" s="1387">
        <v>36617</v>
      </c>
      <c r="C138" s="1388">
        <v>181.63499999999999</v>
      </c>
      <c r="D138" s="1388">
        <v>1610.75</v>
      </c>
      <c r="E138" s="1388">
        <v>1.0136441914221253</v>
      </c>
      <c r="F138" s="1388">
        <v>5.4414739203108242</v>
      </c>
      <c r="K138" s="1472">
        <v>42195</v>
      </c>
      <c r="L138" s="1473" t="s">
        <v>2127</v>
      </c>
      <c r="M138" s="1474">
        <v>5.0788E-2</v>
      </c>
      <c r="N138" s="1475">
        <v>1.0452918681458438</v>
      </c>
      <c r="O138" s="1475">
        <v>1.0452918681458438</v>
      </c>
    </row>
    <row r="139" spans="2:15">
      <c r="B139" s="1387">
        <v>36647</v>
      </c>
      <c r="C139" s="1388">
        <v>182.18899999999999</v>
      </c>
      <c r="D139" s="1388">
        <v>1610.91</v>
      </c>
      <c r="E139" s="1388">
        <v>1.0156265899953318</v>
      </c>
      <c r="F139" s="1388">
        <v>5.5265056022338124</v>
      </c>
      <c r="K139" s="1472">
        <v>42196</v>
      </c>
      <c r="L139" s="1473"/>
      <c r="M139" s="1474">
        <v>0</v>
      </c>
      <c r="N139" s="1475">
        <v>1.0452918681458438</v>
      </c>
      <c r="O139" s="1475">
        <v>1.0452918681458438</v>
      </c>
    </row>
    <row r="140" spans="2:15">
      <c r="B140" s="1387">
        <v>36678</v>
      </c>
      <c r="C140" s="1388">
        <v>183.745</v>
      </c>
      <c r="D140" s="1388">
        <v>1614.62</v>
      </c>
      <c r="E140" s="1388">
        <v>1.0145668910909638</v>
      </c>
      <c r="F140" s="1388">
        <v>5.6070096074551534</v>
      </c>
      <c r="K140" s="1472">
        <v>42197</v>
      </c>
      <c r="L140" s="1473"/>
      <c r="M140" s="1474">
        <v>0</v>
      </c>
      <c r="N140" s="1475">
        <v>1.0452918681458438</v>
      </c>
      <c r="O140" s="1475">
        <v>1.0452918681458438</v>
      </c>
    </row>
    <row r="141" spans="2:15">
      <c r="B141" s="1387">
        <v>36708</v>
      </c>
      <c r="C141" s="1388">
        <v>186.63399999999999</v>
      </c>
      <c r="D141" s="1388">
        <v>1640.62</v>
      </c>
      <c r="E141" s="1388">
        <v>1.0130599958288005</v>
      </c>
      <c r="F141" s="1388">
        <v>5.6802371295405623</v>
      </c>
      <c r="K141" s="1472">
        <v>42198</v>
      </c>
      <c r="L141" s="1473" t="s">
        <v>2127</v>
      </c>
      <c r="M141" s="1474">
        <v>5.0788E-2</v>
      </c>
      <c r="N141" s="1475">
        <v>1.0458227509798377</v>
      </c>
      <c r="O141" s="1475">
        <v>1.0458227509798377</v>
      </c>
    </row>
    <row r="142" spans="2:15">
      <c r="B142" s="1387">
        <v>36739</v>
      </c>
      <c r="C142" s="1388">
        <v>191.08699999999999</v>
      </c>
      <c r="D142" s="1388">
        <v>1662.11</v>
      </c>
      <c r="E142" s="1388">
        <v>1.0140543715890855</v>
      </c>
      <c r="F142" s="1388">
        <v>5.7600692928732462</v>
      </c>
      <c r="K142" s="1472">
        <v>42199</v>
      </c>
      <c r="L142" s="1473" t="s">
        <v>2127</v>
      </c>
      <c r="M142" s="1474">
        <v>5.0788E-2</v>
      </c>
      <c r="N142" s="1475">
        <v>1.0463539034386053</v>
      </c>
      <c r="O142" s="1475">
        <v>1.0463539034386053</v>
      </c>
    </row>
    <row r="143" spans="2:15">
      <c r="B143" s="1387">
        <v>36770</v>
      </c>
      <c r="C143" s="1388">
        <v>193.297</v>
      </c>
      <c r="D143" s="1388">
        <v>1665.93</v>
      </c>
      <c r="E143" s="1388">
        <v>1.0128508890656427</v>
      </c>
      <c r="F143" s="1388">
        <v>5.8340913043663756</v>
      </c>
      <c r="K143" s="1472">
        <v>42200</v>
      </c>
      <c r="L143" s="1473" t="s">
        <v>2127</v>
      </c>
      <c r="M143" s="1474">
        <v>5.0788E-2</v>
      </c>
      <c r="N143" s="1475">
        <v>1.0468853256590838</v>
      </c>
      <c r="O143" s="1475">
        <v>1.0468853256590838</v>
      </c>
    </row>
    <row r="144" spans="2:15">
      <c r="B144" s="1387">
        <v>36800</v>
      </c>
      <c r="C144" s="1388">
        <v>194.04</v>
      </c>
      <c r="D144" s="1388">
        <v>1668.26</v>
      </c>
      <c r="E144" s="1388">
        <v>1.013495295624836</v>
      </c>
      <c r="F144" s="1388">
        <v>5.9128240912210845</v>
      </c>
      <c r="K144" s="1472">
        <v>42201</v>
      </c>
      <c r="L144" s="1473" t="s">
        <v>2127</v>
      </c>
      <c r="M144" s="1474">
        <v>5.0788E-2</v>
      </c>
      <c r="N144" s="1475">
        <v>1.0474170177782796</v>
      </c>
      <c r="O144" s="1475">
        <v>1.0474170177782796</v>
      </c>
    </row>
    <row r="145" spans="2:15">
      <c r="B145" s="1387">
        <v>36831</v>
      </c>
      <c r="C145" s="1388">
        <v>194.59899999999999</v>
      </c>
      <c r="D145" s="1388">
        <v>1673.6</v>
      </c>
      <c r="E145" s="1388">
        <v>1.013431060777086</v>
      </c>
      <c r="F145" s="1388">
        <v>5.992239590954493</v>
      </c>
      <c r="K145" s="1472">
        <v>42202</v>
      </c>
      <c r="L145" s="1473" t="s">
        <v>2127</v>
      </c>
      <c r="M145" s="1474">
        <v>5.0788E-2</v>
      </c>
      <c r="N145" s="1475">
        <v>1.0479489799332689</v>
      </c>
      <c r="O145" s="1475">
        <v>1.0479489799332689</v>
      </c>
    </row>
    <row r="146" spans="2:15">
      <c r="B146" s="1387">
        <v>36861</v>
      </c>
      <c r="C146" s="1388">
        <v>195.827</v>
      </c>
      <c r="D146" s="1388">
        <v>1683.47</v>
      </c>
      <c r="E146" s="1388">
        <v>1.0125716392096709</v>
      </c>
      <c r="F146" s="1388">
        <v>6.0675718651498789</v>
      </c>
      <c r="K146" s="1472">
        <v>42203</v>
      </c>
      <c r="L146" s="1473"/>
      <c r="M146" s="1474">
        <v>0</v>
      </c>
      <c r="N146" s="1475">
        <v>1.0479489799332689</v>
      </c>
      <c r="O146" s="1475">
        <v>1.0479489799332689</v>
      </c>
    </row>
    <row r="147" spans="2:15">
      <c r="B147" s="1387">
        <v>36892</v>
      </c>
      <c r="C147" s="1388">
        <v>197.04499999999999</v>
      </c>
      <c r="D147" s="1388">
        <v>1693.07</v>
      </c>
      <c r="E147" s="1388">
        <v>1.0126506879847863</v>
      </c>
      <c r="F147" s="1388">
        <v>6.144330823641158</v>
      </c>
      <c r="K147" s="1472">
        <v>42204</v>
      </c>
      <c r="L147" s="1473"/>
      <c r="M147" s="1474">
        <v>0</v>
      </c>
      <c r="N147" s="1475">
        <v>1.0479489799332689</v>
      </c>
      <c r="O147" s="1475">
        <v>1.0479489799332689</v>
      </c>
    </row>
    <row r="148" spans="2:15">
      <c r="B148" s="1387">
        <v>36923</v>
      </c>
      <c r="C148" s="1388">
        <v>197.49100000000001</v>
      </c>
      <c r="D148" s="1388">
        <v>1700.86</v>
      </c>
      <c r="E148" s="1388">
        <v>1.0101583510827936</v>
      </c>
      <c r="F148" s="1388">
        <v>6.206747093316535</v>
      </c>
      <c r="K148" s="1472">
        <v>42205</v>
      </c>
      <c r="L148" s="1473" t="s">
        <v>2127</v>
      </c>
      <c r="M148" s="1474">
        <v>5.0788E-2</v>
      </c>
      <c r="N148" s="1475">
        <v>1.0484812122611973</v>
      </c>
      <c r="O148" s="1475">
        <v>1.0484812122611973</v>
      </c>
    </row>
    <row r="149" spans="2:15">
      <c r="B149" s="1387">
        <v>36951</v>
      </c>
      <c r="C149" s="1388">
        <v>198.60599999999999</v>
      </c>
      <c r="D149" s="1388">
        <v>1707.32</v>
      </c>
      <c r="E149" s="1388">
        <v>1.0125785495836725</v>
      </c>
      <c r="F149" s="1388">
        <v>6.2848189693831324</v>
      </c>
      <c r="K149" s="1472">
        <v>42206</v>
      </c>
      <c r="L149" s="1473" t="s">
        <v>2127</v>
      </c>
      <c r="M149" s="1474">
        <v>5.0788E-2</v>
      </c>
      <c r="N149" s="1475">
        <v>1.0490137148992804</v>
      </c>
      <c r="O149" s="1475">
        <v>1.0490137148992804</v>
      </c>
    </row>
    <row r="150" spans="2:15">
      <c r="B150" s="1387">
        <v>36982</v>
      </c>
      <c r="C150" s="1388">
        <v>200.59100000000001</v>
      </c>
      <c r="D150" s="1388">
        <v>1717.22</v>
      </c>
      <c r="E150" s="1388">
        <v>1.0118637336714187</v>
      </c>
      <c r="F150" s="1388">
        <v>6.3593803878089741</v>
      </c>
      <c r="K150" s="1472">
        <v>42207</v>
      </c>
      <c r="L150" s="1473" t="s">
        <v>2127</v>
      </c>
      <c r="M150" s="1474">
        <v>5.0788E-2</v>
      </c>
      <c r="N150" s="1475">
        <v>1.0495464879848035</v>
      </c>
      <c r="O150" s="1475">
        <v>1.0495464879848035</v>
      </c>
    </row>
    <row r="151" spans="2:15">
      <c r="B151" s="1387">
        <v>37012</v>
      </c>
      <c r="C151" s="1388">
        <v>202.32400000000001</v>
      </c>
      <c r="D151" s="1388">
        <v>1724.26</v>
      </c>
      <c r="E151" s="1388">
        <v>1.0133677002760824</v>
      </c>
      <c r="F151" s="1388">
        <v>6.4443906787748011</v>
      </c>
      <c r="K151" s="1472">
        <v>42208</v>
      </c>
      <c r="L151" s="1473" t="s">
        <v>2127</v>
      </c>
      <c r="M151" s="1474">
        <v>5.0788E-2</v>
      </c>
      <c r="N151" s="1475">
        <v>1.0500795316551212</v>
      </c>
      <c r="O151" s="1475">
        <v>1.0500795316551212</v>
      </c>
    </row>
    <row r="152" spans="2:15">
      <c r="B152" s="1387">
        <v>37043</v>
      </c>
      <c r="C152" s="1388">
        <v>204.31</v>
      </c>
      <c r="D152" s="1388">
        <v>1733.23</v>
      </c>
      <c r="E152" s="1388">
        <v>1.0127331554566117</v>
      </c>
      <c r="F152" s="1388">
        <v>6.5264481071107801</v>
      </c>
      <c r="K152" s="1472">
        <v>42209</v>
      </c>
      <c r="L152" s="1473" t="s">
        <v>2127</v>
      </c>
      <c r="M152" s="1474">
        <v>5.0788E-2</v>
      </c>
      <c r="N152" s="1475">
        <v>1.0506128460476583</v>
      </c>
      <c r="O152" s="1475">
        <v>1.0506128460476583</v>
      </c>
    </row>
    <row r="153" spans="2:15">
      <c r="B153" s="1387">
        <v>37073</v>
      </c>
      <c r="C153" s="1388">
        <v>207.34100000000001</v>
      </c>
      <c r="D153" s="1388">
        <v>1756.28</v>
      </c>
      <c r="E153" s="1388">
        <v>1.014979822756394</v>
      </c>
      <c r="F153" s="1388">
        <v>6.6242131429841029</v>
      </c>
      <c r="K153" s="1472">
        <v>42210</v>
      </c>
      <c r="L153" s="1473"/>
      <c r="M153" s="1474">
        <v>0</v>
      </c>
      <c r="N153" s="1475">
        <v>1.0506128460476583</v>
      </c>
      <c r="O153" s="1475">
        <v>1.0506128460476583</v>
      </c>
    </row>
    <row r="154" spans="2:15">
      <c r="B154" s="1387">
        <v>37104</v>
      </c>
      <c r="C154" s="1388">
        <v>210.21100000000001</v>
      </c>
      <c r="D154" s="1388">
        <v>1768.57</v>
      </c>
      <c r="E154" s="1388">
        <v>1.0160000122718875</v>
      </c>
      <c r="F154" s="1388">
        <v>6.7302006345634471</v>
      </c>
      <c r="K154" s="1472">
        <v>42211</v>
      </c>
      <c r="L154" s="1473"/>
      <c r="M154" s="1474">
        <v>0</v>
      </c>
      <c r="N154" s="1475">
        <v>1.0506128460476583</v>
      </c>
      <c r="O154" s="1475">
        <v>1.0506128460476583</v>
      </c>
    </row>
    <row r="155" spans="2:15">
      <c r="B155" s="1387">
        <v>37135</v>
      </c>
      <c r="C155" s="1388">
        <v>210.85300000000001</v>
      </c>
      <c r="D155" s="1388">
        <v>1773.52</v>
      </c>
      <c r="E155" s="1388">
        <v>1.013243107438228</v>
      </c>
      <c r="F155" s="1388">
        <v>6.8193294046478012</v>
      </c>
      <c r="K155" s="1472">
        <v>42212</v>
      </c>
      <c r="L155" s="1473" t="s">
        <v>2127</v>
      </c>
      <c r="M155" s="1474">
        <v>5.0788E-2</v>
      </c>
      <c r="N155" s="1475">
        <v>1.051146431299909</v>
      </c>
      <c r="O155" s="1475">
        <v>1.051146431299909</v>
      </c>
    </row>
    <row r="156" spans="2:15">
      <c r="B156" s="1387">
        <v>37165</v>
      </c>
      <c r="C156" s="1388">
        <v>213.339</v>
      </c>
      <c r="D156" s="1388">
        <v>1788.24</v>
      </c>
      <c r="E156" s="1388">
        <v>1.0153493751182632</v>
      </c>
      <c r="F156" s="1388">
        <v>6.9240018497347426</v>
      </c>
      <c r="K156" s="1472">
        <v>42213</v>
      </c>
      <c r="L156" s="1473" t="s">
        <v>2127</v>
      </c>
      <c r="M156" s="1474">
        <v>5.0788E-2</v>
      </c>
      <c r="N156" s="1475">
        <v>1.0516802875494375</v>
      </c>
      <c r="O156" s="1475">
        <v>1.0516802875494375</v>
      </c>
    </row>
    <row r="157" spans="2:15">
      <c r="B157" s="1387">
        <v>37196</v>
      </c>
      <c r="C157" s="1388">
        <v>215.685</v>
      </c>
      <c r="D157" s="1388">
        <v>1800.94</v>
      </c>
      <c r="E157" s="1388">
        <v>1.0139343824698488</v>
      </c>
      <c r="F157" s="1388">
        <v>7.0204835397308871</v>
      </c>
      <c r="K157" s="1472">
        <v>42214</v>
      </c>
      <c r="L157" s="1473" t="s">
        <v>2127</v>
      </c>
      <c r="M157" s="1474">
        <v>5.0788E-2</v>
      </c>
      <c r="N157" s="1475">
        <v>1.0522144149338781</v>
      </c>
      <c r="O157" s="1475">
        <v>1.0522144149338781</v>
      </c>
    </row>
    <row r="158" spans="2:15">
      <c r="B158" s="1387">
        <v>37226</v>
      </c>
      <c r="C158" s="1388">
        <v>216.16300000000001</v>
      </c>
      <c r="D158" s="1388">
        <v>1812.65</v>
      </c>
      <c r="E158" s="1388">
        <v>1.0139354159682339</v>
      </c>
      <c r="F158" s="1388">
        <v>7.1183168981551761</v>
      </c>
      <c r="K158" s="1472">
        <v>42215</v>
      </c>
      <c r="L158" s="1473" t="s">
        <v>2127</v>
      </c>
      <c r="M158" s="1474">
        <v>5.2531000000000001E-2</v>
      </c>
      <c r="N158" s="1475">
        <v>1.0527671536881871</v>
      </c>
      <c r="O158" s="1475">
        <v>1.0527671536881871</v>
      </c>
    </row>
    <row r="159" spans="2:15">
      <c r="B159" s="1387">
        <v>37257</v>
      </c>
      <c r="C159" s="1388">
        <v>216.94399999999999</v>
      </c>
      <c r="D159" s="1388">
        <v>1822.08</v>
      </c>
      <c r="E159" s="1388">
        <v>1.0153395939759675</v>
      </c>
      <c r="F159" s="1388">
        <v>7.2275089891651447</v>
      </c>
      <c r="K159" s="1472">
        <v>42216</v>
      </c>
      <c r="L159" s="1473" t="s">
        <v>2127</v>
      </c>
      <c r="M159" s="1474">
        <v>5.2531000000000001E-2</v>
      </c>
      <c r="N159" s="1475">
        <v>1.0533201828016909</v>
      </c>
      <c r="O159" s="1475">
        <v>1.0533201828016909</v>
      </c>
    </row>
    <row r="160" spans="2:15">
      <c r="B160" s="1387">
        <v>37288</v>
      </c>
      <c r="C160" s="1388">
        <v>217.07400000000001</v>
      </c>
      <c r="D160" s="1388">
        <v>1828.64</v>
      </c>
      <c r="E160" s="1388">
        <v>1.012482154231837</v>
      </c>
      <c r="F160" s="1388">
        <v>7.3177238710798918</v>
      </c>
      <c r="K160" s="1472">
        <v>42217</v>
      </c>
      <c r="L160" s="1473"/>
      <c r="M160" s="1474">
        <v>0</v>
      </c>
      <c r="N160" s="1475">
        <v>1.0533201828016909</v>
      </c>
      <c r="O160" s="1475">
        <v>1.0533201828016909</v>
      </c>
    </row>
    <row r="161" spans="2:15">
      <c r="B161" s="1387">
        <v>37316</v>
      </c>
      <c r="C161" s="1388">
        <v>217.27600000000001</v>
      </c>
      <c r="D161" s="1388">
        <v>1839.61</v>
      </c>
      <c r="E161" s="1388">
        <v>1.013713327882185</v>
      </c>
      <c r="F161" s="1388">
        <v>7.4180742178753025</v>
      </c>
      <c r="K161" s="1472">
        <v>42218</v>
      </c>
      <c r="L161" s="1473"/>
      <c r="M161" s="1474">
        <v>0</v>
      </c>
      <c r="N161" s="1475">
        <v>1.0533201828016909</v>
      </c>
      <c r="O161" s="1475">
        <v>1.0533201828016909</v>
      </c>
    </row>
    <row r="162" spans="2:15">
      <c r="B162" s="1387">
        <v>37347</v>
      </c>
      <c r="C162" s="1388">
        <v>218.48599999999999</v>
      </c>
      <c r="D162" s="1388">
        <v>1854.33</v>
      </c>
      <c r="E162" s="1388">
        <v>1.0148356719718208</v>
      </c>
      <c r="F162" s="1388">
        <v>7.5281263336343214</v>
      </c>
      <c r="K162" s="1472">
        <v>42219</v>
      </c>
      <c r="L162" s="1473" t="s">
        <v>2127</v>
      </c>
      <c r="M162" s="1474">
        <v>5.2531000000000001E-2</v>
      </c>
      <c r="N162" s="1475">
        <v>1.0538735024269186</v>
      </c>
      <c r="O162" s="1475">
        <v>1.0538735024269186</v>
      </c>
    </row>
    <row r="163" spans="2:15">
      <c r="B163" s="1387">
        <v>37377</v>
      </c>
      <c r="C163" s="1388">
        <v>220.292</v>
      </c>
      <c r="D163" s="1388">
        <v>1858.22</v>
      </c>
      <c r="E163" s="1388">
        <v>1.0141498936566418</v>
      </c>
      <c r="F163" s="1388">
        <v>7.6346485206890113</v>
      </c>
      <c r="K163" s="1472">
        <v>42220</v>
      </c>
      <c r="L163" s="1473" t="s">
        <v>2127</v>
      </c>
      <c r="M163" s="1474">
        <v>5.2531000000000001E-2</v>
      </c>
      <c r="N163" s="1475">
        <v>1.0544271127164784</v>
      </c>
      <c r="O163" s="1475">
        <v>1.0544271127164784</v>
      </c>
    </row>
    <row r="164" spans="2:15">
      <c r="B164" s="1387">
        <v>37408</v>
      </c>
      <c r="C164" s="1388">
        <v>223.68799999999999</v>
      </c>
      <c r="D164" s="1388">
        <v>1866.02</v>
      </c>
      <c r="E164" s="1388">
        <v>1.0132903281280037</v>
      </c>
      <c r="F164" s="1388">
        <v>7.7361155046709458</v>
      </c>
      <c r="K164" s="1472">
        <v>42221</v>
      </c>
      <c r="L164" s="1473" t="s">
        <v>2127</v>
      </c>
      <c r="M164" s="1474">
        <v>5.2531000000000001E-2</v>
      </c>
      <c r="N164" s="1475">
        <v>1.0549810138230595</v>
      </c>
      <c r="O164" s="1475">
        <v>1.0549810138230595</v>
      </c>
    </row>
    <row r="165" spans="2:15">
      <c r="B165" s="1387">
        <v>37438</v>
      </c>
      <c r="C165" s="1388">
        <v>228.05699999999999</v>
      </c>
      <c r="D165" s="1388">
        <v>1888.23</v>
      </c>
      <c r="E165" s="1388">
        <v>1.0153543455443825</v>
      </c>
      <c r="F165" s="1388">
        <v>7.8548984953009189</v>
      </c>
      <c r="K165" s="1472">
        <v>42222</v>
      </c>
      <c r="L165" s="1473" t="s">
        <v>2127</v>
      </c>
      <c r="M165" s="1474">
        <v>5.2531000000000001E-2</v>
      </c>
      <c r="N165" s="1475">
        <v>1.055535205899431</v>
      </c>
      <c r="O165" s="1475">
        <v>1.055535205899431</v>
      </c>
    </row>
    <row r="166" spans="2:15">
      <c r="B166" s="1387">
        <v>37469</v>
      </c>
      <c r="C166" s="1388">
        <v>233.34800000000001</v>
      </c>
      <c r="D166" s="1388">
        <v>1900.5</v>
      </c>
      <c r="E166" s="1388">
        <v>1.0144340404848073</v>
      </c>
      <c r="F166" s="1388">
        <v>7.9682764181861447</v>
      </c>
      <c r="K166" s="1472">
        <v>42223</v>
      </c>
      <c r="L166" s="1473" t="s">
        <v>2127</v>
      </c>
      <c r="M166" s="1474">
        <v>5.2531000000000001E-2</v>
      </c>
      <c r="N166" s="1475">
        <v>1.0560896890984419</v>
      </c>
      <c r="O166" s="1475">
        <v>1.0560896890984419</v>
      </c>
    </row>
    <row r="167" spans="2:15">
      <c r="B167" s="1387">
        <v>37500</v>
      </c>
      <c r="C167" s="1388">
        <v>238.94300000000001</v>
      </c>
      <c r="D167" s="1388">
        <v>1914.18</v>
      </c>
      <c r="E167" s="1388">
        <v>1.0138126637754254</v>
      </c>
      <c r="F167" s="1388">
        <v>8.0783395412202008</v>
      </c>
      <c r="K167" s="1472">
        <v>42224</v>
      </c>
      <c r="L167" s="1473"/>
      <c r="M167" s="1474">
        <v>0</v>
      </c>
      <c r="N167" s="1475">
        <v>1.0560896890984419</v>
      </c>
      <c r="O167" s="1475">
        <v>1.0560896890984419</v>
      </c>
    </row>
    <row r="168" spans="2:15">
      <c r="B168" s="1387">
        <v>37530</v>
      </c>
      <c r="C168" s="1388">
        <v>248.19900000000001</v>
      </c>
      <c r="D168" s="1388">
        <v>1939.26</v>
      </c>
      <c r="E168" s="1388">
        <v>1.0164592520111337</v>
      </c>
      <c r="F168" s="1388">
        <v>8.2113029675606501</v>
      </c>
      <c r="K168" s="1472">
        <v>42225</v>
      </c>
      <c r="L168" s="1473"/>
      <c r="M168" s="1474">
        <v>0</v>
      </c>
      <c r="N168" s="1475">
        <v>1.0560896890984419</v>
      </c>
      <c r="O168" s="1475">
        <v>1.0560896890984419</v>
      </c>
    </row>
    <row r="169" spans="2:15">
      <c r="B169" s="1387">
        <v>37561</v>
      </c>
      <c r="C169" s="1388">
        <v>261.08</v>
      </c>
      <c r="D169" s="1388">
        <v>1997.83</v>
      </c>
      <c r="E169" s="1388">
        <v>1.0154093077816833</v>
      </c>
      <c r="F169" s="1388">
        <v>8.337833462276441</v>
      </c>
      <c r="K169" s="1472">
        <v>42226</v>
      </c>
      <c r="L169" s="1473" t="s">
        <v>2127</v>
      </c>
      <c r="M169" s="1474">
        <v>5.2531000000000001E-2</v>
      </c>
      <c r="N169" s="1475">
        <v>1.0566444635730223</v>
      </c>
      <c r="O169" s="1475">
        <v>1.0566444635730223</v>
      </c>
    </row>
    <row r="170" spans="2:15">
      <c r="B170" s="1387">
        <v>37591</v>
      </c>
      <c r="C170" s="1388">
        <v>270.86700000000002</v>
      </c>
      <c r="D170" s="1388">
        <v>2039.78</v>
      </c>
      <c r="E170" s="1388">
        <v>1.0174244857414556</v>
      </c>
      <c r="F170" s="1388">
        <v>8.483115922554509</v>
      </c>
      <c r="K170" s="1472">
        <v>42227</v>
      </c>
      <c r="L170" s="1473" t="s">
        <v>2127</v>
      </c>
      <c r="M170" s="1474">
        <v>5.2531000000000001E-2</v>
      </c>
      <c r="N170" s="1475">
        <v>1.0571995294761818</v>
      </c>
      <c r="O170" s="1475">
        <v>1.0571995294761818</v>
      </c>
    </row>
    <row r="171" spans="2:15">
      <c r="B171" s="1387">
        <v>37622</v>
      </c>
      <c r="C171" s="1388">
        <v>277.173</v>
      </c>
      <c r="D171" s="1388">
        <v>2085.6799999999998</v>
      </c>
      <c r="E171" s="1388">
        <v>1.0197126646415859</v>
      </c>
      <c r="F171" s="1388">
        <v>8.6503407418515241</v>
      </c>
      <c r="K171" s="1472">
        <v>42228</v>
      </c>
      <c r="L171" s="1473" t="s">
        <v>2127</v>
      </c>
      <c r="M171" s="1474">
        <v>5.2531000000000001E-2</v>
      </c>
      <c r="N171" s="1475">
        <v>1.0577548869610109</v>
      </c>
      <c r="O171" s="1475">
        <v>1.0577548869610109</v>
      </c>
    </row>
    <row r="172" spans="2:15">
      <c r="B172" s="1387">
        <v>37653</v>
      </c>
      <c r="C172" s="1388">
        <v>283.50599999999997</v>
      </c>
      <c r="D172" s="1388">
        <v>2118.4299999999998</v>
      </c>
      <c r="E172" s="1388">
        <v>1.0183037986307939</v>
      </c>
      <c r="F172" s="1388">
        <v>8.8086748368781276</v>
      </c>
      <c r="K172" s="1472">
        <v>42229</v>
      </c>
      <c r="L172" s="1473" t="s">
        <v>2127</v>
      </c>
      <c r="M172" s="1474">
        <v>5.2531000000000001E-2</v>
      </c>
      <c r="N172" s="1475">
        <v>1.0583105361806804</v>
      </c>
      <c r="O172" s="1475">
        <v>1.0583105361806804</v>
      </c>
    </row>
    <row r="173" spans="2:15">
      <c r="B173" s="1387">
        <v>37681</v>
      </c>
      <c r="C173" s="1388">
        <v>287.85500000000002</v>
      </c>
      <c r="D173" s="1388">
        <v>2144.4899999999998</v>
      </c>
      <c r="E173" s="1388">
        <v>1.0177701866474056</v>
      </c>
      <c r="F173" s="1388">
        <v>8.9652066328457565</v>
      </c>
      <c r="K173" s="1472">
        <v>42230</v>
      </c>
      <c r="L173" s="1473" t="s">
        <v>2127</v>
      </c>
      <c r="M173" s="1474">
        <v>5.2531000000000001E-2</v>
      </c>
      <c r="N173" s="1475">
        <v>1.0588664772884415</v>
      </c>
      <c r="O173" s="1475">
        <v>1.0588664772884415</v>
      </c>
    </row>
    <row r="174" spans="2:15">
      <c r="B174" s="1387">
        <v>37712</v>
      </c>
      <c r="C174" s="1388">
        <v>290.512</v>
      </c>
      <c r="D174" s="1388">
        <v>2165.29</v>
      </c>
      <c r="E174" s="1388">
        <v>1.0187159495984839</v>
      </c>
      <c r="F174" s="1388">
        <v>9.1329989883260918</v>
      </c>
      <c r="K174" s="1472">
        <v>42231</v>
      </c>
      <c r="L174" s="1473"/>
      <c r="M174" s="1474">
        <v>0</v>
      </c>
      <c r="N174" s="1475">
        <v>1.0588664772884415</v>
      </c>
      <c r="O174" s="1475">
        <v>1.0588664772884415</v>
      </c>
    </row>
    <row r="175" spans="2:15">
      <c r="B175" s="1387">
        <v>37742</v>
      </c>
      <c r="C175" s="1388">
        <v>289.74700000000001</v>
      </c>
      <c r="D175" s="1388">
        <v>2178.5</v>
      </c>
      <c r="E175" s="1388">
        <v>1.0196535248447016</v>
      </c>
      <c r="F175" s="1388">
        <v>9.312494610849793</v>
      </c>
      <c r="K175" s="1472">
        <v>42232</v>
      </c>
      <c r="L175" s="1473"/>
      <c r="M175" s="1474">
        <v>0</v>
      </c>
      <c r="N175" s="1475">
        <v>1.0588664772884415</v>
      </c>
      <c r="O175" s="1475">
        <v>1.0588664772884415</v>
      </c>
    </row>
    <row r="176" spans="2:15">
      <c r="B176" s="1387">
        <v>37773</v>
      </c>
      <c r="C176" s="1388">
        <v>286.84300000000002</v>
      </c>
      <c r="D176" s="1388">
        <v>2175.23</v>
      </c>
      <c r="E176" s="1388">
        <v>1.0185667947451373</v>
      </c>
      <c r="F176" s="1388">
        <v>9.4853977868546391</v>
      </c>
      <c r="K176" s="1472">
        <v>42233</v>
      </c>
      <c r="L176" s="1473" t="s">
        <v>2127</v>
      </c>
      <c r="M176" s="1474">
        <v>5.2531000000000001E-2</v>
      </c>
      <c r="N176" s="1475">
        <v>1.0594227104376259</v>
      </c>
      <c r="O176" s="1475">
        <v>1.0594227104376259</v>
      </c>
    </row>
    <row r="177" spans="2:15">
      <c r="B177" s="1387">
        <v>37803</v>
      </c>
      <c r="C177" s="1388">
        <v>285.649</v>
      </c>
      <c r="D177" s="1388">
        <v>2179.58</v>
      </c>
      <c r="E177" s="1388">
        <v>1.0208424747911398</v>
      </c>
      <c r="F177" s="1388">
        <v>9.6830969511110894</v>
      </c>
      <c r="K177" s="1472">
        <v>42234</v>
      </c>
      <c r="L177" s="1473" t="s">
        <v>2127</v>
      </c>
      <c r="M177" s="1474">
        <v>5.2531000000000001E-2</v>
      </c>
      <c r="N177" s="1475">
        <v>1.059979235781646</v>
      </c>
      <c r="O177" s="1475">
        <v>1.059979235781646</v>
      </c>
    </row>
    <row r="178" spans="2:15">
      <c r="B178" s="1387">
        <v>37834</v>
      </c>
      <c r="C178" s="1388">
        <v>286.73500000000001</v>
      </c>
      <c r="D178" s="1388">
        <v>2186.9899999999998</v>
      </c>
      <c r="E178" s="1388">
        <v>1.0177426111342931</v>
      </c>
      <c r="F178" s="1388">
        <v>9.8549003748903132</v>
      </c>
      <c r="K178" s="1472">
        <v>42235</v>
      </c>
      <c r="L178" s="1473" t="s">
        <v>2127</v>
      </c>
      <c r="M178" s="1474">
        <v>5.2531000000000001E-2</v>
      </c>
      <c r="N178" s="1475">
        <v>1.0605360534739945</v>
      </c>
      <c r="O178" s="1475">
        <v>1.0605360534739945</v>
      </c>
    </row>
    <row r="179" spans="2:15">
      <c r="B179" s="1387">
        <v>37865</v>
      </c>
      <c r="C179" s="1388">
        <v>290.12700000000001</v>
      </c>
      <c r="D179" s="1388">
        <v>2204.0500000000002</v>
      </c>
      <c r="E179" s="1388">
        <v>1.0167950902831471</v>
      </c>
      <c r="F179" s="1388">
        <v>10.020414316418016</v>
      </c>
      <c r="K179" s="1472">
        <v>42236</v>
      </c>
      <c r="L179" s="1473" t="s">
        <v>2127</v>
      </c>
      <c r="M179" s="1474">
        <v>5.2531000000000001E-2</v>
      </c>
      <c r="N179" s="1475">
        <v>1.061093163668245</v>
      </c>
      <c r="O179" s="1475">
        <v>1.061093163668245</v>
      </c>
    </row>
    <row r="180" spans="2:15">
      <c r="B180" s="1387">
        <v>37895</v>
      </c>
      <c r="C180" s="1388">
        <v>291.22899999999998</v>
      </c>
      <c r="D180" s="1388">
        <v>2210.44</v>
      </c>
      <c r="E180" s="1388">
        <v>1.0164205992977207</v>
      </c>
      <c r="F180" s="1388">
        <v>10.18495552470506</v>
      </c>
      <c r="K180" s="1472">
        <v>42237</v>
      </c>
      <c r="L180" s="1473" t="s">
        <v>2127</v>
      </c>
      <c r="M180" s="1474">
        <v>5.2531000000000001E-2</v>
      </c>
      <c r="N180" s="1475">
        <v>1.0616505665180516</v>
      </c>
      <c r="O180" s="1475">
        <v>1.0616505665180516</v>
      </c>
    </row>
    <row r="181" spans="2:15">
      <c r="B181" s="1387">
        <v>37926</v>
      </c>
      <c r="C181" s="1388">
        <v>292.65699999999998</v>
      </c>
      <c r="D181" s="1388">
        <v>2217.96</v>
      </c>
      <c r="E181" s="1388">
        <v>1.0134353138584866</v>
      </c>
      <c r="F181" s="1388">
        <v>10.3217935988142</v>
      </c>
      <c r="K181" s="1472">
        <v>42238</v>
      </c>
      <c r="L181" s="1473"/>
      <c r="M181" s="1474">
        <v>0</v>
      </c>
      <c r="N181" s="1475">
        <v>1.0616505665180516</v>
      </c>
      <c r="O181" s="1475">
        <v>1.0616505665180516</v>
      </c>
    </row>
    <row r="182" spans="2:15">
      <c r="B182" s="1387">
        <v>37956</v>
      </c>
      <c r="C182" s="1388">
        <v>294.45499999999998</v>
      </c>
      <c r="D182" s="1388">
        <v>2229.4899999999998</v>
      </c>
      <c r="E182" s="1388">
        <v>1.0137325047762002</v>
      </c>
      <c r="F182" s="1388">
        <v>10.463537678708869</v>
      </c>
      <c r="K182" s="1472">
        <v>42239</v>
      </c>
      <c r="L182" s="1473"/>
      <c r="M182" s="1474">
        <v>0</v>
      </c>
      <c r="N182" s="1475">
        <v>1.0616505665180516</v>
      </c>
      <c r="O182" s="1475">
        <v>1.0616505665180516</v>
      </c>
    </row>
    <row r="183" spans="2:15">
      <c r="B183" s="1387">
        <v>37987</v>
      </c>
      <c r="C183" s="1388">
        <v>297.03899999999999</v>
      </c>
      <c r="D183" s="1388">
        <v>2246.4299999999998</v>
      </c>
      <c r="E183" s="1388">
        <v>1.0126755135884871</v>
      </c>
      <c r="F183" s="1388">
        <v>10.59616839273899</v>
      </c>
      <c r="K183" s="1472">
        <v>42240</v>
      </c>
      <c r="L183" s="1473" t="s">
        <v>2127</v>
      </c>
      <c r="M183" s="1474">
        <v>5.2531000000000001E-2</v>
      </c>
      <c r="N183" s="1475">
        <v>1.0622082621771491</v>
      </c>
      <c r="O183" s="1475">
        <v>1.0622082621771491</v>
      </c>
    </row>
    <row r="184" spans="2:15">
      <c r="B184" s="1387">
        <v>38018</v>
      </c>
      <c r="C184" s="1388">
        <v>299.09699999999998</v>
      </c>
      <c r="D184" s="1388">
        <v>2260.13</v>
      </c>
      <c r="E184" s="1388">
        <v>1.0108439419169848</v>
      </c>
      <c r="F184" s="1388">
        <v>10.711072627332442</v>
      </c>
      <c r="K184" s="1472">
        <v>42241</v>
      </c>
      <c r="L184" s="1473" t="s">
        <v>2127</v>
      </c>
      <c r="M184" s="1474">
        <v>5.2531000000000001E-2</v>
      </c>
      <c r="N184" s="1475">
        <v>1.0627662507993534</v>
      </c>
      <c r="O184" s="1475">
        <v>1.0627662507993534</v>
      </c>
    </row>
    <row r="185" spans="2:15">
      <c r="B185" s="1387">
        <v>38047</v>
      </c>
      <c r="C185" s="1388">
        <v>302.48399999999998</v>
      </c>
      <c r="D185" s="1388">
        <v>2270.75</v>
      </c>
      <c r="E185" s="1388">
        <v>1.0137912342986635</v>
      </c>
      <c r="F185" s="1388">
        <v>10.858791539525985</v>
      </c>
      <c r="K185" s="1472">
        <v>42242</v>
      </c>
      <c r="L185" s="1473" t="s">
        <v>2127</v>
      </c>
      <c r="M185" s="1474">
        <v>5.2531000000000001E-2</v>
      </c>
      <c r="N185" s="1475">
        <v>1.0633245325385607</v>
      </c>
      <c r="O185" s="1475">
        <v>1.0633245325385607</v>
      </c>
    </row>
    <row r="186" spans="2:15">
      <c r="B186" s="1387">
        <v>38078</v>
      </c>
      <c r="C186" s="1388">
        <v>306.15100000000001</v>
      </c>
      <c r="D186" s="1388">
        <v>2279.15</v>
      </c>
      <c r="E186" s="1388">
        <v>1.011818501098614</v>
      </c>
      <c r="F186" s="1388">
        <v>10.987126179265493</v>
      </c>
      <c r="K186" s="1472">
        <v>42243</v>
      </c>
      <c r="L186" s="1473" t="s">
        <v>2127</v>
      </c>
      <c r="M186" s="1474">
        <v>5.2531000000000001E-2</v>
      </c>
      <c r="N186" s="1475">
        <v>1.0638831075487485</v>
      </c>
      <c r="O186" s="1475">
        <v>1.0638831075487485</v>
      </c>
    </row>
    <row r="187" spans="2:15">
      <c r="B187" s="1387">
        <v>38108</v>
      </c>
      <c r="C187" s="1388">
        <v>310.15199999999999</v>
      </c>
      <c r="D187" s="1388">
        <v>2290.77</v>
      </c>
      <c r="E187" s="1388">
        <v>1.0122780474663127</v>
      </c>
      <c r="F187" s="1388">
        <v>11.122026636012881</v>
      </c>
      <c r="K187" s="1472">
        <v>42244</v>
      </c>
      <c r="L187" s="1473" t="s">
        <v>2127</v>
      </c>
      <c r="M187" s="1474">
        <v>5.2531000000000001E-2</v>
      </c>
      <c r="N187" s="1475">
        <v>1.0644419759839749</v>
      </c>
      <c r="O187" s="1475">
        <v>1.0644419759839749</v>
      </c>
    </row>
    <row r="188" spans="2:15">
      <c r="B188" s="1387">
        <v>38139</v>
      </c>
      <c r="C188" s="1388">
        <v>314.41899999999998</v>
      </c>
      <c r="D188" s="1388">
        <v>2307.0300000000002</v>
      </c>
      <c r="E188" s="1388">
        <v>1.0122988884857291</v>
      </c>
      <c r="F188" s="1388">
        <v>11.258815201344513</v>
      </c>
      <c r="K188" s="1472">
        <v>42245</v>
      </c>
      <c r="L188" s="1473"/>
      <c r="M188" s="1474">
        <v>0</v>
      </c>
      <c r="N188" s="1475">
        <v>1.0644419759839749</v>
      </c>
      <c r="O188" s="1475">
        <v>1.0644419759839749</v>
      </c>
    </row>
    <row r="189" spans="2:15">
      <c r="B189" s="1387">
        <v>38169</v>
      </c>
      <c r="C189" s="1388">
        <v>318.53199999999998</v>
      </c>
      <c r="D189" s="1388">
        <v>2328.02</v>
      </c>
      <c r="E189" s="1388">
        <v>1.012868893920805</v>
      </c>
      <c r="F189" s="1388">
        <v>11.403703699844563</v>
      </c>
      <c r="K189" s="1472">
        <v>42246</v>
      </c>
      <c r="L189" s="1473"/>
      <c r="M189" s="1474">
        <v>0</v>
      </c>
      <c r="N189" s="1475">
        <v>1.0644419759839749</v>
      </c>
      <c r="O189" s="1475">
        <v>1.0644419759839749</v>
      </c>
    </row>
    <row r="190" spans="2:15">
      <c r="B190" s="1387">
        <v>38200</v>
      </c>
      <c r="C190" s="1388">
        <v>322.41199999999998</v>
      </c>
      <c r="D190" s="1388">
        <v>2344.08</v>
      </c>
      <c r="E190" s="1388">
        <v>1.0129358583775749</v>
      </c>
      <c r="F190" s="1388">
        <v>11.551220395885579</v>
      </c>
      <c r="K190" s="1472">
        <v>42247</v>
      </c>
      <c r="L190" s="1473" t="s">
        <v>2127</v>
      </c>
      <c r="M190" s="1474">
        <v>5.2531000000000001E-2</v>
      </c>
      <c r="N190" s="1475">
        <v>1.065001137998379</v>
      </c>
      <c r="O190" s="1475">
        <v>1.065001137998379</v>
      </c>
    </row>
    <row r="191" spans="2:15">
      <c r="B191" s="1387">
        <v>38231</v>
      </c>
      <c r="C191" s="1388">
        <v>324.65100000000001</v>
      </c>
      <c r="D191" s="1388">
        <v>2351.8200000000002</v>
      </c>
      <c r="E191" s="1388">
        <v>1.0125132709021758</v>
      </c>
      <c r="F191" s="1388">
        <v>11.695763945950034</v>
      </c>
      <c r="K191" s="1472">
        <v>42248</v>
      </c>
      <c r="L191" s="1473" t="s">
        <v>2127</v>
      </c>
      <c r="M191" s="1474">
        <v>5.2531000000000001E-2</v>
      </c>
      <c r="N191" s="1475">
        <v>1.065560593746181</v>
      </c>
      <c r="O191" s="1475">
        <v>1.065560593746181</v>
      </c>
    </row>
    <row r="192" spans="2:15">
      <c r="B192" s="1387">
        <v>38261</v>
      </c>
      <c r="C192" s="1388">
        <v>325.92500000000001</v>
      </c>
      <c r="D192" s="1388">
        <v>2362.17</v>
      </c>
      <c r="E192" s="1388">
        <v>1.0121322386789289</v>
      </c>
      <c r="F192" s="1388">
        <v>11.837659745674712</v>
      </c>
      <c r="K192" s="1472">
        <v>42249</v>
      </c>
      <c r="L192" s="1473" t="s">
        <v>2127</v>
      </c>
      <c r="M192" s="1474">
        <v>5.2531000000000001E-2</v>
      </c>
      <c r="N192" s="1475">
        <v>1.0661203433816817</v>
      </c>
      <c r="O192" s="1475">
        <v>1.0661203433816817</v>
      </c>
    </row>
    <row r="193" spans="2:15">
      <c r="B193" s="1387">
        <v>38292</v>
      </c>
      <c r="C193" s="1388">
        <v>328.58800000000002</v>
      </c>
      <c r="D193" s="1388">
        <v>2378.4699999999998</v>
      </c>
      <c r="E193" s="1388">
        <v>1.0125098562166484</v>
      </c>
      <c r="F193" s="1388">
        <v>11.985747167034708</v>
      </c>
      <c r="K193" s="1472">
        <v>42250</v>
      </c>
      <c r="L193" s="1473" t="s">
        <v>2127</v>
      </c>
      <c r="M193" s="1474">
        <v>5.2531000000000001E-2</v>
      </c>
      <c r="N193" s="1475">
        <v>1.0666803870592636</v>
      </c>
      <c r="O193" s="1475">
        <v>1.0666803870592636</v>
      </c>
    </row>
    <row r="194" spans="2:15">
      <c r="B194" s="1387">
        <v>38322</v>
      </c>
      <c r="C194" s="1388">
        <v>331.005</v>
      </c>
      <c r="D194" s="1388">
        <v>2398.92</v>
      </c>
      <c r="E194" s="1388">
        <v>1.0148282315457626</v>
      </c>
      <c r="F194" s="1388">
        <v>12.163474601276468</v>
      </c>
      <c r="K194" s="1472">
        <v>42251</v>
      </c>
      <c r="L194" s="1473" t="s">
        <v>2127</v>
      </c>
      <c r="M194" s="1474">
        <v>5.2531000000000001E-2</v>
      </c>
      <c r="N194" s="1475">
        <v>1.0672407249333897</v>
      </c>
      <c r="O194" s="1475">
        <v>1.0672407249333897</v>
      </c>
    </row>
    <row r="195" spans="2:15">
      <c r="B195" s="1387">
        <v>38353</v>
      </c>
      <c r="C195" s="1388">
        <v>332.298</v>
      </c>
      <c r="D195" s="1388">
        <v>2412.83</v>
      </c>
      <c r="E195" s="1388">
        <v>1.0138388229391033</v>
      </c>
      <c r="F195" s="1388">
        <v>12.331802772607814</v>
      </c>
      <c r="K195" s="1472">
        <v>42252</v>
      </c>
      <c r="L195" s="1473"/>
      <c r="M195" s="1474">
        <v>0</v>
      </c>
      <c r="N195" s="1475">
        <v>1.0672407249333897</v>
      </c>
      <c r="O195" s="1475">
        <v>1.0672407249333897</v>
      </c>
    </row>
    <row r="196" spans="2:15">
      <c r="B196" s="1387">
        <v>38384</v>
      </c>
      <c r="C196" s="1388">
        <v>333.28800000000001</v>
      </c>
      <c r="D196" s="1388">
        <v>2427.0700000000002</v>
      </c>
      <c r="E196" s="1388">
        <v>1.0121818576713373</v>
      </c>
      <c r="F196" s="1388">
        <v>12.482027038814724</v>
      </c>
      <c r="K196" s="1472">
        <v>42253</v>
      </c>
      <c r="L196" s="1473"/>
      <c r="M196" s="1474">
        <v>0</v>
      </c>
      <c r="N196" s="1475">
        <v>1.0672407249333897</v>
      </c>
      <c r="O196" s="1475">
        <v>1.0672407249333897</v>
      </c>
    </row>
    <row r="197" spans="2:15">
      <c r="B197" s="1387">
        <v>38412</v>
      </c>
      <c r="C197" s="1388">
        <v>336.12299999999999</v>
      </c>
      <c r="D197" s="1388">
        <v>2441.87</v>
      </c>
      <c r="E197" s="1388">
        <v>1.0152817807540921</v>
      </c>
      <c r="F197" s="1388">
        <v>12.672774639388541</v>
      </c>
      <c r="G197" s="67"/>
      <c r="K197" s="1472">
        <v>42254</v>
      </c>
      <c r="L197" s="1473"/>
      <c r="M197" s="1474">
        <v>0</v>
      </c>
      <c r="N197" s="1475">
        <v>1.0672407249333897</v>
      </c>
      <c r="O197" s="1475">
        <v>1.0672407249333897</v>
      </c>
    </row>
    <row r="198" spans="2:15">
      <c r="B198" s="1387">
        <v>38443</v>
      </c>
      <c r="C198" s="1388">
        <v>339.03</v>
      </c>
      <c r="D198" s="1388">
        <v>2463.11</v>
      </c>
      <c r="E198" s="1388">
        <v>1.0141152901477553</v>
      </c>
      <c r="F198" s="1388">
        <v>12.851654530400625</v>
      </c>
      <c r="K198" s="1472">
        <v>42255</v>
      </c>
      <c r="L198" s="1473" t="s">
        <v>2127</v>
      </c>
      <c r="M198" s="1474">
        <v>5.2531000000000001E-2</v>
      </c>
      <c r="N198" s="1475">
        <v>1.0678013571586045</v>
      </c>
      <c r="O198" s="1475">
        <v>1.0678013571586045</v>
      </c>
    </row>
    <row r="199" spans="2:15">
      <c r="B199" s="1387">
        <v>38473</v>
      </c>
      <c r="C199" s="1388">
        <v>338.29899999999998</v>
      </c>
      <c r="D199" s="1388">
        <v>2475.1799999999998</v>
      </c>
      <c r="E199" s="1388">
        <v>1.0150306502044895</v>
      </c>
      <c r="F199" s="1388">
        <v>13.044823254196018</v>
      </c>
      <c r="K199" s="1472">
        <v>42256</v>
      </c>
      <c r="L199" s="1473" t="s">
        <v>2127</v>
      </c>
      <c r="M199" s="1474">
        <v>5.2531000000000001E-2</v>
      </c>
      <c r="N199" s="1475">
        <v>1.0683622838895335</v>
      </c>
      <c r="O199" s="1475">
        <v>1.0683622838895335</v>
      </c>
    </row>
    <row r="200" spans="2:15">
      <c r="B200" s="1387">
        <v>38504</v>
      </c>
      <c r="C200" s="1388">
        <v>336.80099999999999</v>
      </c>
      <c r="D200" s="1388">
        <v>2474.6799999999998</v>
      </c>
      <c r="E200" s="1388">
        <v>1.0158560276185216</v>
      </c>
      <c r="F200" s="1388">
        <v>13.251662331993282</v>
      </c>
      <c r="K200" s="1472">
        <v>42257</v>
      </c>
      <c r="L200" s="1473" t="s">
        <v>2127</v>
      </c>
      <c r="M200" s="1474">
        <v>5.2531000000000001E-2</v>
      </c>
      <c r="N200" s="1475">
        <v>1.0689235052808834</v>
      </c>
      <c r="O200" s="1475">
        <v>1.0689235052808834</v>
      </c>
    </row>
    <row r="201" spans="2:15">
      <c r="B201" s="1387">
        <v>38534</v>
      </c>
      <c r="C201" s="1388">
        <v>335.66300000000001</v>
      </c>
      <c r="D201" s="1388">
        <v>2480.87</v>
      </c>
      <c r="E201" s="1388">
        <v>1.0151134516871545</v>
      </c>
      <c r="F201" s="1388">
        <v>13.451940690422347</v>
      </c>
      <c r="K201" s="1472">
        <v>42258</v>
      </c>
      <c r="L201" s="1473" t="s">
        <v>2127</v>
      </c>
      <c r="M201" s="1474">
        <v>5.2531000000000001E-2</v>
      </c>
      <c r="N201" s="1475">
        <v>1.0694850214874425</v>
      </c>
      <c r="O201" s="1475">
        <v>1.0694850214874425</v>
      </c>
    </row>
    <row r="202" spans="2:15">
      <c r="B202" s="1387">
        <v>38565</v>
      </c>
      <c r="C202" s="1388">
        <v>333.47399999999999</v>
      </c>
      <c r="D202" s="1388">
        <v>2485.09</v>
      </c>
      <c r="E202" s="1388">
        <v>1.0165848332092207</v>
      </c>
      <c r="F202" s="1388">
        <v>13.675038883113331</v>
      </c>
      <c r="K202" s="1472">
        <v>42259</v>
      </c>
      <c r="L202" s="1473"/>
      <c r="M202" s="1474">
        <v>0</v>
      </c>
      <c r="N202" s="1475">
        <v>1.0694850214874425</v>
      </c>
      <c r="O202" s="1475">
        <v>1.0694850214874425</v>
      </c>
    </row>
    <row r="203" spans="2:15">
      <c r="B203" s="1387">
        <v>38596</v>
      </c>
      <c r="C203" s="1388">
        <v>331.69</v>
      </c>
      <c r="D203" s="1388">
        <v>2493.79</v>
      </c>
      <c r="E203" s="1388">
        <v>1.0150313602253485</v>
      </c>
      <c r="F203" s="1388">
        <v>13.880593318661054</v>
      </c>
      <c r="K203" s="1472">
        <v>42260</v>
      </c>
      <c r="L203" s="1473"/>
      <c r="M203" s="1474">
        <v>0</v>
      </c>
      <c r="N203" s="1475">
        <v>1.0694850214874425</v>
      </c>
      <c r="O203" s="1475">
        <v>1.0694850214874425</v>
      </c>
    </row>
    <row r="204" spans="2:15">
      <c r="B204" s="1387">
        <v>38626</v>
      </c>
      <c r="C204" s="1388">
        <v>333.69400000000002</v>
      </c>
      <c r="D204" s="1388">
        <v>2512.4899999999998</v>
      </c>
      <c r="E204" s="1388">
        <v>1.0140716431638075</v>
      </c>
      <c r="F204" s="1388">
        <v>14.075916074743184</v>
      </c>
      <c r="K204" s="1472">
        <v>42261</v>
      </c>
      <c r="L204" s="1473" t="s">
        <v>2127</v>
      </c>
      <c r="M204" s="1474">
        <v>5.2531000000000001E-2</v>
      </c>
      <c r="N204" s="1475">
        <v>1.0700468326640802</v>
      </c>
      <c r="O204" s="1475">
        <v>1.0700468326640802</v>
      </c>
    </row>
    <row r="205" spans="2:15">
      <c r="B205" s="1387">
        <v>38657</v>
      </c>
      <c r="C205" s="1388">
        <v>335.03300000000002</v>
      </c>
      <c r="D205" s="1388">
        <v>2526.31</v>
      </c>
      <c r="E205" s="1388">
        <v>1.0138104099310956</v>
      </c>
      <c r="F205" s="1388">
        <v>14.270310245891086</v>
      </c>
      <c r="K205" s="1472">
        <v>42262</v>
      </c>
      <c r="L205" s="1473" t="s">
        <v>2127</v>
      </c>
      <c r="M205" s="1474">
        <v>5.2531000000000001E-2</v>
      </c>
      <c r="N205" s="1475">
        <v>1.0706089389657469</v>
      </c>
      <c r="O205" s="1475">
        <v>1.0706089389657469</v>
      </c>
    </row>
    <row r="206" spans="2:15">
      <c r="B206" s="1387">
        <v>38687</v>
      </c>
      <c r="C206" s="1388">
        <v>335.00599999999997</v>
      </c>
      <c r="D206" s="1388">
        <v>2535.4</v>
      </c>
      <c r="E206" s="1388">
        <v>1.0147357208231795</v>
      </c>
      <c r="F206" s="1388">
        <v>14.480593553734694</v>
      </c>
      <c r="K206" s="1472">
        <v>42263</v>
      </c>
      <c r="L206" s="1473" t="s">
        <v>2127</v>
      </c>
      <c r="M206" s="1474">
        <v>5.2531000000000001E-2</v>
      </c>
      <c r="N206" s="1475">
        <v>1.071171340547475</v>
      </c>
      <c r="O206" s="1475">
        <v>1.071171340547475</v>
      </c>
    </row>
    <row r="207" spans="2:15">
      <c r="B207" s="1387">
        <v>38718</v>
      </c>
      <c r="C207" s="1388">
        <v>338.08300000000003</v>
      </c>
      <c r="D207" s="1388">
        <v>2550.36</v>
      </c>
      <c r="E207" s="1388">
        <v>1.0142931741687891</v>
      </c>
      <c r="F207" s="1388">
        <v>14.687567199465668</v>
      </c>
      <c r="K207" s="1472">
        <v>42264</v>
      </c>
      <c r="L207" s="1473" t="s">
        <v>2127</v>
      </c>
      <c r="M207" s="1474">
        <v>5.2531000000000001E-2</v>
      </c>
      <c r="N207" s="1475">
        <v>1.071734037564378</v>
      </c>
      <c r="O207" s="1475">
        <v>1.071734037564378</v>
      </c>
    </row>
    <row r="208" spans="2:15">
      <c r="B208" s="1387">
        <v>38749</v>
      </c>
      <c r="C208" s="1388">
        <v>338.12799999999999</v>
      </c>
      <c r="D208" s="1388">
        <v>2560.8200000000002</v>
      </c>
      <c r="E208" s="1388">
        <v>1.0114506306443078</v>
      </c>
      <c r="F208" s="1388">
        <v>14.855749106530201</v>
      </c>
      <c r="K208" s="1472">
        <v>42265</v>
      </c>
      <c r="L208" s="1473" t="s">
        <v>2127</v>
      </c>
      <c r="M208" s="1474">
        <v>5.2531000000000001E-2</v>
      </c>
      <c r="N208" s="1475">
        <v>1.072297030171651</v>
      </c>
      <c r="O208" s="1475">
        <v>1.072297030171651</v>
      </c>
    </row>
    <row r="209" spans="2:15">
      <c r="B209" s="1387">
        <v>38777</v>
      </c>
      <c r="C209" s="1388">
        <v>337.339</v>
      </c>
      <c r="D209" s="1388">
        <v>2571.83</v>
      </c>
      <c r="E209" s="1388">
        <v>1.0142230199009199</v>
      </c>
      <c r="F209" s="1388">
        <v>15.067042721715453</v>
      </c>
      <c r="K209" s="1472">
        <v>42266</v>
      </c>
      <c r="L209" s="1473"/>
      <c r="M209" s="1474">
        <v>0</v>
      </c>
      <c r="N209" s="1475">
        <v>1.072297030171651</v>
      </c>
      <c r="O209" s="1475">
        <v>1.072297030171651</v>
      </c>
    </row>
    <row r="210" spans="2:15">
      <c r="B210" s="1387">
        <v>38808</v>
      </c>
      <c r="C210" s="1388">
        <v>335.92099999999999</v>
      </c>
      <c r="D210" s="1388">
        <v>2577.23</v>
      </c>
      <c r="E210" s="1388">
        <v>1.0107787821533378</v>
      </c>
      <c r="F210" s="1388">
        <v>15.229447092907858</v>
      </c>
      <c r="K210" s="1472">
        <v>42267</v>
      </c>
      <c r="L210" s="1473"/>
      <c r="M210" s="1474">
        <v>0</v>
      </c>
      <c r="N210" s="1475">
        <v>1.072297030171651</v>
      </c>
      <c r="O210" s="1475">
        <v>1.072297030171651</v>
      </c>
    </row>
    <row r="211" spans="2:15">
      <c r="B211" s="1387">
        <v>38838</v>
      </c>
      <c r="C211" s="1388">
        <v>337.185</v>
      </c>
      <c r="D211" s="1388">
        <v>2579.81</v>
      </c>
      <c r="E211" s="1388">
        <v>1.0128136552027243</v>
      </c>
      <c r="F211" s="1388">
        <v>15.424591976884511</v>
      </c>
      <c r="K211" s="1472">
        <v>42268</v>
      </c>
      <c r="L211" s="1473" t="s">
        <v>2127</v>
      </c>
      <c r="M211" s="1474">
        <v>5.2531000000000001E-2</v>
      </c>
      <c r="N211" s="1475">
        <v>1.0728603185245704</v>
      </c>
      <c r="O211" s="1475">
        <v>1.0728603185245704</v>
      </c>
    </row>
    <row r="212" spans="2:15">
      <c r="B212" s="1387">
        <v>38869</v>
      </c>
      <c r="C212" s="1388">
        <v>339.71199999999999</v>
      </c>
      <c r="D212" s="1388">
        <v>2574.39</v>
      </c>
      <c r="E212" s="1388">
        <v>1.0118439390435949</v>
      </c>
      <c r="F212" s="1388">
        <v>15.607279904031055</v>
      </c>
      <c r="K212" s="1472">
        <v>42269</v>
      </c>
      <c r="L212" s="1473" t="s">
        <v>2127</v>
      </c>
      <c r="M212" s="1474">
        <v>5.2531000000000001E-2</v>
      </c>
      <c r="N212" s="1475">
        <v>1.0734239027784946</v>
      </c>
      <c r="O212" s="1475">
        <v>1.0734239027784946</v>
      </c>
    </row>
    <row r="213" spans="2:15">
      <c r="B213" s="1387">
        <v>38899</v>
      </c>
      <c r="C213" s="1388">
        <v>340.31200000000001</v>
      </c>
      <c r="D213" s="1388">
        <v>2579.2800000000002</v>
      </c>
      <c r="E213" s="1388">
        <v>1.0116996590630269</v>
      </c>
      <c r="F213" s="1388">
        <v>15.78987975780945</v>
      </c>
      <c r="K213" s="1472">
        <v>42270</v>
      </c>
      <c r="L213" s="1473" t="s">
        <v>2127</v>
      </c>
      <c r="M213" s="1474">
        <v>5.2531000000000001E-2</v>
      </c>
      <c r="N213" s="1475">
        <v>1.0739877830888631</v>
      </c>
      <c r="O213" s="1475">
        <v>1.0739877830888631</v>
      </c>
    </row>
    <row r="214" spans="2:15">
      <c r="B214" s="1387">
        <v>38930</v>
      </c>
      <c r="C214" s="1388">
        <v>341.57400000000001</v>
      </c>
      <c r="D214" s="1388">
        <v>2580.5700000000002</v>
      </c>
      <c r="E214" s="1388">
        <v>1.012562646303421</v>
      </c>
      <c r="F214" s="1388">
        <v>15.988242432380357</v>
      </c>
      <c r="K214" s="1472">
        <v>42271</v>
      </c>
      <c r="L214" s="1473" t="s">
        <v>2127</v>
      </c>
      <c r="M214" s="1474">
        <v>5.2531000000000001E-2</v>
      </c>
      <c r="N214" s="1475">
        <v>1.0745519596111974</v>
      </c>
      <c r="O214" s="1475">
        <v>1.0745519596111974</v>
      </c>
    </row>
    <row r="215" spans="2:15" ht="13.5" customHeight="1">
      <c r="B215" s="1387">
        <v>38961</v>
      </c>
      <c r="C215" s="1388">
        <v>342.56099999999998</v>
      </c>
      <c r="D215" s="1388">
        <v>2585.9899999999998</v>
      </c>
      <c r="E215" s="1388">
        <v>1.0105730983323107</v>
      </c>
      <c r="F215" s="1388">
        <v>16.157287691778738</v>
      </c>
      <c r="K215" s="1472">
        <v>42272</v>
      </c>
      <c r="L215" s="1473" t="s">
        <v>2127</v>
      </c>
      <c r="M215" s="1474">
        <v>5.2531000000000001E-2</v>
      </c>
      <c r="N215" s="1475">
        <v>1.0751164325011009</v>
      </c>
      <c r="O215" s="1475">
        <v>1.0751164325011009</v>
      </c>
    </row>
    <row r="216" spans="2:15">
      <c r="B216" s="1387">
        <v>38991</v>
      </c>
      <c r="C216" s="1388">
        <v>344.15499999999997</v>
      </c>
      <c r="D216" s="1388">
        <v>2594.52</v>
      </c>
      <c r="E216" s="1388">
        <v>1.0109424441222723</v>
      </c>
      <c r="F216" s="1388">
        <v>16.334087909513503</v>
      </c>
      <c r="K216" s="1472">
        <v>42273</v>
      </c>
      <c r="L216" s="1473"/>
      <c r="M216" s="1474">
        <v>0</v>
      </c>
      <c r="N216" s="1475">
        <v>1.0751164325011009</v>
      </c>
      <c r="O216" s="1475">
        <v>1.0751164325011009</v>
      </c>
    </row>
    <row r="217" spans="2:15">
      <c r="B217" s="1387">
        <v>39022</v>
      </c>
      <c r="C217" s="1388">
        <v>346.74599999999998</v>
      </c>
      <c r="D217" s="1388">
        <v>2602.56</v>
      </c>
      <c r="E217" s="1388">
        <v>1.0102060517349183</v>
      </c>
      <c r="F217" s="1388">
        <v>16.500794455760701</v>
      </c>
      <c r="K217" s="1472">
        <v>42274</v>
      </c>
      <c r="L217" s="1473"/>
      <c r="M217" s="1474">
        <v>0</v>
      </c>
      <c r="N217" s="1475">
        <v>1.0751164325011009</v>
      </c>
      <c r="O217" s="1475">
        <v>1.0751164325011009</v>
      </c>
    </row>
    <row r="218" spans="2:15">
      <c r="B218" s="1387">
        <v>39052</v>
      </c>
      <c r="C218" s="1388">
        <v>347.84199999999998</v>
      </c>
      <c r="D218" s="1388">
        <v>2615.0500000000002</v>
      </c>
      <c r="E218" s="1388">
        <v>1.0098788606332807</v>
      </c>
      <c r="F218" s="1388">
        <v>16.663803504527571</v>
      </c>
      <c r="K218" s="1472">
        <v>42275</v>
      </c>
      <c r="L218" s="1473" t="s">
        <v>2127</v>
      </c>
      <c r="M218" s="1474">
        <v>5.2531000000000001E-2</v>
      </c>
      <c r="N218" s="1475">
        <v>1.0756812019142581</v>
      </c>
      <c r="O218" s="1475">
        <v>1.0756812019142581</v>
      </c>
    </row>
    <row r="219" spans="2:15">
      <c r="B219" s="1387">
        <v>39083</v>
      </c>
      <c r="C219" s="1388">
        <v>349.59300000000002</v>
      </c>
      <c r="D219" s="1388">
        <v>2626.56</v>
      </c>
      <c r="E219" s="1388">
        <v>1.0108280266006449</v>
      </c>
      <c r="F219" s="1388">
        <v>16.844239612142516</v>
      </c>
      <c r="K219" s="1472">
        <v>42276</v>
      </c>
      <c r="L219" s="1473" t="s">
        <v>2127</v>
      </c>
      <c r="M219" s="1474">
        <v>5.2531000000000001E-2</v>
      </c>
      <c r="N219" s="1475">
        <v>1.0762462680064357</v>
      </c>
      <c r="O219" s="1475">
        <v>1.0762462680064357</v>
      </c>
    </row>
    <row r="220" spans="2:15">
      <c r="B220" s="1387">
        <v>39114</v>
      </c>
      <c r="C220" s="1388">
        <v>350.524</v>
      </c>
      <c r="D220" s="1388">
        <v>2638.12</v>
      </c>
      <c r="E220" s="1388">
        <v>1.008724844950982</v>
      </c>
      <c r="F220" s="1388">
        <v>16.991202991075649</v>
      </c>
      <c r="K220" s="1472">
        <v>42277</v>
      </c>
      <c r="L220" s="1473" t="s">
        <v>2127</v>
      </c>
      <c r="M220" s="1474">
        <v>5.2531000000000001E-2</v>
      </c>
      <c r="N220" s="1475">
        <v>1.0768116309334823</v>
      </c>
      <c r="O220" s="1475">
        <v>1.0768116309334823</v>
      </c>
    </row>
    <row r="221" spans="2:15">
      <c r="B221" s="1387">
        <v>39142</v>
      </c>
      <c r="C221" s="1388">
        <v>351.71699999999998</v>
      </c>
      <c r="D221" s="1388">
        <v>2647.88</v>
      </c>
      <c r="E221" s="1388">
        <v>1.0105222327764332</v>
      </c>
      <c r="F221" s="1388">
        <v>17.169988384099376</v>
      </c>
      <c r="K221" s="1472">
        <v>42278</v>
      </c>
      <c r="L221" s="1473" t="s">
        <v>2127</v>
      </c>
      <c r="M221" s="1474">
        <v>5.2531000000000001E-2</v>
      </c>
      <c r="N221" s="1475">
        <v>1.0773772908513279</v>
      </c>
      <c r="O221" s="1475">
        <v>1.0773772908513279</v>
      </c>
    </row>
    <row r="222" spans="2:15">
      <c r="B222" s="1387">
        <v>39173</v>
      </c>
      <c r="C222" s="1388">
        <v>351.86900000000003</v>
      </c>
      <c r="D222" s="1388">
        <v>2654.5</v>
      </c>
      <c r="E222" s="1388">
        <v>1.0094482340398951</v>
      </c>
      <c r="F222" s="1388">
        <v>17.332214452814629</v>
      </c>
      <c r="K222" s="1472">
        <v>42279</v>
      </c>
      <c r="L222" s="1473" t="s">
        <v>2127</v>
      </c>
      <c r="M222" s="1474">
        <v>5.2531000000000001E-2</v>
      </c>
      <c r="N222" s="1475">
        <v>1.0779432479159849</v>
      </c>
      <c r="O222" s="1475">
        <v>1.0779432479159849</v>
      </c>
    </row>
    <row r="223" spans="2:15">
      <c r="B223" s="1387">
        <v>39203</v>
      </c>
      <c r="C223" s="1388">
        <v>352.02</v>
      </c>
      <c r="D223" s="1388">
        <v>2661.93</v>
      </c>
      <c r="E223" s="1388">
        <v>1.0102807696314628</v>
      </c>
      <c r="F223" s="1388">
        <v>17.510402956807127</v>
      </c>
      <c r="K223" s="1472">
        <v>42280</v>
      </c>
      <c r="L223" s="1473"/>
      <c r="M223" s="1474">
        <v>0</v>
      </c>
      <c r="N223" s="1475">
        <v>1.0779432479159849</v>
      </c>
      <c r="O223" s="1475">
        <v>1.0779432479159849</v>
      </c>
    </row>
    <row r="224" spans="2:15">
      <c r="B224" s="1387">
        <v>39234</v>
      </c>
      <c r="C224" s="1388">
        <v>352.93599999999998</v>
      </c>
      <c r="D224" s="1388">
        <v>2669.38</v>
      </c>
      <c r="E224" s="1388">
        <v>1.0090562894719608</v>
      </c>
      <c r="F224" s="1388">
        <v>17.668982234754651</v>
      </c>
      <c r="K224" s="1472">
        <v>42281</v>
      </c>
      <c r="L224" s="1473"/>
      <c r="M224" s="1474">
        <v>0</v>
      </c>
      <c r="N224" s="1475">
        <v>1.0779432479159849</v>
      </c>
      <c r="O224" s="1475">
        <v>1.0779432479159849</v>
      </c>
    </row>
    <row r="225" spans="2:15">
      <c r="B225" s="1387">
        <v>39264</v>
      </c>
      <c r="C225" s="1388">
        <v>353.92</v>
      </c>
      <c r="D225" s="1388">
        <v>2675.79</v>
      </c>
      <c r="E225" s="1388">
        <v>1.0097263257608722</v>
      </c>
      <c r="F225" s="1388">
        <v>17.840836511832936</v>
      </c>
      <c r="K225" s="1472">
        <v>42282</v>
      </c>
      <c r="L225" s="1473" t="s">
        <v>2127</v>
      </c>
      <c r="M225" s="1474">
        <v>5.2531000000000001E-2</v>
      </c>
      <c r="N225" s="1475">
        <v>1.0785095022835478</v>
      </c>
      <c r="O225" s="1475">
        <v>1.0785095022835478</v>
      </c>
    </row>
    <row r="226" spans="2:15">
      <c r="B226" s="1387">
        <v>39295</v>
      </c>
      <c r="C226" s="1388">
        <v>357.404</v>
      </c>
      <c r="D226" s="1388">
        <v>2688.37</v>
      </c>
      <c r="E226" s="1388">
        <v>1.0099263513682912</v>
      </c>
      <c r="F226" s="1388">
        <v>18.017930923753628</v>
      </c>
      <c r="K226" s="1472">
        <v>42283</v>
      </c>
      <c r="L226" s="1473" t="s">
        <v>2127</v>
      </c>
      <c r="M226" s="1474">
        <v>5.2531000000000001E-2</v>
      </c>
      <c r="N226" s="1475">
        <v>1.0790760541101925</v>
      </c>
      <c r="O226" s="1475">
        <v>1.0790760541101925</v>
      </c>
    </row>
    <row r="227" spans="2:15">
      <c r="B227" s="1387">
        <v>39326</v>
      </c>
      <c r="C227" s="1388">
        <v>361.99700000000001</v>
      </c>
      <c r="D227" s="1388">
        <v>2693.21</v>
      </c>
      <c r="E227" s="1388">
        <v>1.0080496134415582</v>
      </c>
      <c r="F227" s="1388">
        <v>18.162968302706542</v>
      </c>
      <c r="K227" s="1472">
        <v>42284</v>
      </c>
      <c r="L227" s="1473" t="s">
        <v>2127</v>
      </c>
      <c r="M227" s="1474">
        <v>5.2531000000000001E-2</v>
      </c>
      <c r="N227" s="1475">
        <v>1.0796429035521771</v>
      </c>
      <c r="O227" s="1475">
        <v>1.0796429035521771</v>
      </c>
    </row>
    <row r="228" spans="2:15">
      <c r="B228" s="1387">
        <v>39356</v>
      </c>
      <c r="C228" s="1388">
        <v>365.79399999999998</v>
      </c>
      <c r="D228" s="1388">
        <v>2701.29</v>
      </c>
      <c r="E228" s="1388">
        <v>1.0092949262855189</v>
      </c>
      <c r="F228" s="1388">
        <v>18.331791754206414</v>
      </c>
      <c r="K228" s="1472">
        <v>42285</v>
      </c>
      <c r="L228" s="1473" t="s">
        <v>2127</v>
      </c>
      <c r="M228" s="1474">
        <v>5.2531000000000001E-2</v>
      </c>
      <c r="N228" s="1475">
        <v>1.0802100507658421</v>
      </c>
      <c r="O228" s="1475">
        <v>1.0802100507658421</v>
      </c>
    </row>
    <row r="229" spans="2:15">
      <c r="B229" s="1387">
        <v>39387</v>
      </c>
      <c r="C229" s="1388">
        <v>368.334</v>
      </c>
      <c r="D229" s="1388">
        <v>2711.55</v>
      </c>
      <c r="E229" s="1388">
        <v>1.0084467048252397</v>
      </c>
      <c r="F229" s="1388">
        <v>18.486634988071959</v>
      </c>
      <c r="K229" s="1472">
        <v>42286</v>
      </c>
      <c r="L229" s="1473" t="s">
        <v>2127</v>
      </c>
      <c r="M229" s="1474">
        <v>5.2531000000000001E-2</v>
      </c>
      <c r="N229" s="1475">
        <v>1.08077749590761</v>
      </c>
      <c r="O229" s="1475">
        <v>1.08077749590761</v>
      </c>
    </row>
    <row r="230" spans="2:15">
      <c r="B230" s="1387">
        <v>39417</v>
      </c>
      <c r="C230" s="1388">
        <v>374.815</v>
      </c>
      <c r="D230" s="1388">
        <v>2731.62</v>
      </c>
      <c r="E230" s="1388">
        <v>1.0084467048252395</v>
      </c>
      <c r="F230" s="1388">
        <v>18.642786137028146</v>
      </c>
      <c r="K230" s="1472">
        <v>42287</v>
      </c>
      <c r="L230" s="1473"/>
      <c r="M230" s="1474">
        <v>0</v>
      </c>
      <c r="N230" s="1475">
        <v>1.08077749590761</v>
      </c>
      <c r="O230" s="1475">
        <v>1.08077749590761</v>
      </c>
    </row>
    <row r="231" spans="2:15">
      <c r="B231" s="1387">
        <v>39448</v>
      </c>
      <c r="C231" s="1388">
        <v>378.9</v>
      </c>
      <c r="D231" s="1388">
        <v>2746.37</v>
      </c>
      <c r="E231" s="1388">
        <v>1.0092938367057227</v>
      </c>
      <c r="F231" s="1388">
        <v>18.816049147125398</v>
      </c>
      <c r="K231" s="1472">
        <v>42288</v>
      </c>
      <c r="L231" s="1473"/>
      <c r="M231" s="1474">
        <v>0</v>
      </c>
      <c r="N231" s="1475">
        <v>1.08077749590761</v>
      </c>
      <c r="O231" s="1475">
        <v>1.08077749590761</v>
      </c>
    </row>
    <row r="232" spans="2:15">
      <c r="B232" s="1387">
        <v>39479</v>
      </c>
      <c r="C232" s="1388">
        <v>380.90600000000001</v>
      </c>
      <c r="D232" s="1388">
        <v>2759.83</v>
      </c>
      <c r="E232" s="1388">
        <v>1.0080223173492819</v>
      </c>
      <c r="F232" s="1388">
        <v>18.966997464643324</v>
      </c>
      <c r="K232" s="1472">
        <v>42289</v>
      </c>
      <c r="L232" s="1473"/>
      <c r="M232" s="1474">
        <v>0</v>
      </c>
      <c r="N232" s="1475">
        <v>1.08077749590761</v>
      </c>
      <c r="O232" s="1475">
        <v>1.08077749590761</v>
      </c>
    </row>
    <row r="233" spans="2:15">
      <c r="B233" s="1387">
        <v>39508</v>
      </c>
      <c r="C233" s="1388">
        <v>383.73099999999999</v>
      </c>
      <c r="D233" s="1388">
        <v>2773.08</v>
      </c>
      <c r="E233" s="1388">
        <v>1.0084459790490408</v>
      </c>
      <c r="F233" s="1388">
        <v>19.12719232785291</v>
      </c>
      <c r="K233" s="1472">
        <v>42290</v>
      </c>
      <c r="L233" s="1473" t="s">
        <v>2127</v>
      </c>
      <c r="M233" s="1474">
        <v>5.2531000000000001E-2</v>
      </c>
      <c r="N233" s="1475">
        <v>1.0813452391339853</v>
      </c>
      <c r="O233" s="1475">
        <v>1.0813452391339853</v>
      </c>
    </row>
    <row r="234" spans="2:15">
      <c r="B234" s="1387">
        <v>39539</v>
      </c>
      <c r="C234" s="1388">
        <v>386.38</v>
      </c>
      <c r="D234" s="1388">
        <v>2788.33</v>
      </c>
      <c r="E234" s="1388">
        <v>1.0090142575644072</v>
      </c>
      <c r="F234" s="1388">
        <v>19.299609765980129</v>
      </c>
      <c r="K234" s="1472">
        <v>42291</v>
      </c>
      <c r="L234" s="1473" t="s">
        <v>2127</v>
      </c>
      <c r="M234" s="1474">
        <v>5.2531000000000001E-2</v>
      </c>
      <c r="N234" s="1475">
        <v>1.0819132806015548</v>
      </c>
      <c r="O234" s="1475">
        <v>1.0819132806015548</v>
      </c>
    </row>
    <row r="235" spans="2:15">
      <c r="B235" s="1387">
        <v>39569</v>
      </c>
      <c r="C235" s="1388">
        <v>392.59199999999998</v>
      </c>
      <c r="D235" s="1388">
        <v>2810.36</v>
      </c>
      <c r="E235" s="1388">
        <v>1.0087678287685495</v>
      </c>
      <c r="F235" s="1388">
        <v>19.46882543970807</v>
      </c>
      <c r="K235" s="1472">
        <v>42292</v>
      </c>
      <c r="L235" s="1473" t="s">
        <v>2127</v>
      </c>
      <c r="M235" s="1474">
        <v>5.2531000000000001E-2</v>
      </c>
      <c r="N235" s="1475">
        <v>1.0824816204669876</v>
      </c>
      <c r="O235" s="1475">
        <v>1.0824816204669876</v>
      </c>
    </row>
    <row r="236" spans="2:15">
      <c r="B236" s="1387">
        <v>39600</v>
      </c>
      <c r="C236" s="1388">
        <v>400.38200000000001</v>
      </c>
      <c r="D236" s="1388">
        <v>2831.16</v>
      </c>
      <c r="E236" s="1388">
        <v>1.0095559246898425</v>
      </c>
      <c r="F236" s="1388">
        <v>19.654868069409609</v>
      </c>
      <c r="K236" s="1472">
        <v>42293</v>
      </c>
      <c r="L236" s="1473" t="s">
        <v>2127</v>
      </c>
      <c r="M236" s="1474">
        <v>5.2531000000000001E-2</v>
      </c>
      <c r="N236" s="1475">
        <v>1.0830502588870352</v>
      </c>
      <c r="O236" s="1475">
        <v>1.0830502588870352</v>
      </c>
    </row>
    <row r="237" spans="2:15">
      <c r="B237" s="1387">
        <v>39630</v>
      </c>
      <c r="C237" s="1388">
        <v>407.44600000000003</v>
      </c>
      <c r="D237" s="1388">
        <v>2846.16</v>
      </c>
      <c r="E237" s="1388">
        <v>1.0106967121371</v>
      </c>
      <c r="F237" s="1388">
        <v>19.865110535240763</v>
      </c>
      <c r="K237" s="1472">
        <v>42294</v>
      </c>
      <c r="L237" s="1473"/>
      <c r="M237" s="1474">
        <v>0</v>
      </c>
      <c r="N237" s="1475">
        <v>1.0830502588870352</v>
      </c>
      <c r="O237" s="1475">
        <v>1.0830502588870352</v>
      </c>
    </row>
    <row r="238" spans="2:15">
      <c r="B238" s="1387">
        <v>39661</v>
      </c>
      <c r="C238" s="1388">
        <v>406.12700000000001</v>
      </c>
      <c r="D238" s="1388">
        <v>2854.13</v>
      </c>
      <c r="E238" s="1388">
        <v>1.0101765713502602</v>
      </c>
      <c r="F238" s="1388">
        <v>20.067269249983447</v>
      </c>
      <c r="K238" s="1472">
        <v>42295</v>
      </c>
      <c r="L238" s="1473"/>
      <c r="M238" s="1474">
        <v>0</v>
      </c>
      <c r="N238" s="1475">
        <v>1.0830502588870352</v>
      </c>
      <c r="O238" s="1475">
        <v>1.0830502588870352</v>
      </c>
    </row>
    <row r="239" spans="2:15">
      <c r="B239" s="1387">
        <v>39692</v>
      </c>
      <c r="C239" s="1388">
        <v>406.55700000000002</v>
      </c>
      <c r="D239" s="1388">
        <v>2861.55</v>
      </c>
      <c r="E239" s="1388">
        <v>1.011030909274969</v>
      </c>
      <c r="F239" s="1388">
        <v>20.288629476476387</v>
      </c>
      <c r="K239" s="1472">
        <v>42296</v>
      </c>
      <c r="L239" s="1473" t="s">
        <v>2127</v>
      </c>
      <c r="M239" s="1474">
        <v>5.2531000000000001E-2</v>
      </c>
      <c r="N239" s="1475">
        <v>1.0836191960185311</v>
      </c>
      <c r="O239" s="1475">
        <v>1.0836191960185311</v>
      </c>
    </row>
    <row r="240" spans="2:15">
      <c r="B240" s="1387">
        <v>39722</v>
      </c>
      <c r="C240" s="1388">
        <v>410.524</v>
      </c>
      <c r="D240" s="1388">
        <v>2874.43</v>
      </c>
      <c r="E240" s="1388">
        <v>1.0117587656900342</v>
      </c>
      <c r="F240" s="1388">
        <v>20.527198716662195</v>
      </c>
      <c r="K240" s="1472">
        <v>42297</v>
      </c>
      <c r="L240" s="1473" t="s">
        <v>2127</v>
      </c>
      <c r="M240" s="1474">
        <v>5.2531000000000001E-2</v>
      </c>
      <c r="N240" s="1475">
        <v>1.0841884320183917</v>
      </c>
      <c r="O240" s="1475">
        <v>1.0841884320183917</v>
      </c>
    </row>
    <row r="241" spans="2:15">
      <c r="B241" s="1387">
        <v>39753</v>
      </c>
      <c r="C241" s="1388">
        <v>412.10399999999998</v>
      </c>
      <c r="D241" s="1388">
        <v>2884.78</v>
      </c>
      <c r="E241" s="1388">
        <v>1.0101996908301405</v>
      </c>
      <c r="F241" s="1388">
        <v>20.736569797181005</v>
      </c>
      <c r="K241" s="1472">
        <v>42298</v>
      </c>
      <c r="L241" s="1473" t="s">
        <v>2127</v>
      </c>
      <c r="M241" s="1474">
        <v>5.2531000000000001E-2</v>
      </c>
      <c r="N241" s="1475">
        <v>1.0847579670436152</v>
      </c>
      <c r="O241" s="1475">
        <v>1.0847579670436152</v>
      </c>
    </row>
    <row r="242" spans="2:15">
      <c r="B242" s="1387">
        <v>39783</v>
      </c>
      <c r="C242" s="1388">
        <v>411.57499999999999</v>
      </c>
      <c r="D242" s="1388">
        <v>2892.86</v>
      </c>
      <c r="E242" s="1388">
        <v>1.0112409294280835</v>
      </c>
      <c r="F242" s="1388">
        <v>20.969668114851643</v>
      </c>
      <c r="K242" s="1472">
        <v>42299</v>
      </c>
      <c r="L242" s="1473" t="s">
        <v>2127</v>
      </c>
      <c r="M242" s="1474">
        <v>5.2531000000000001E-2</v>
      </c>
      <c r="N242" s="1475">
        <v>1.0853278012512828</v>
      </c>
      <c r="O242" s="1475">
        <v>1.0853278012512828</v>
      </c>
    </row>
    <row r="243" spans="2:15">
      <c r="B243" s="1387">
        <v>39814</v>
      </c>
      <c r="C243" s="1388">
        <v>409.78199999999998</v>
      </c>
      <c r="D243" s="1388">
        <v>2906.74</v>
      </c>
      <c r="E243" s="1388">
        <v>1.0104780743150839</v>
      </c>
      <c r="F243" s="1388">
        <v>21.189389855721704</v>
      </c>
      <c r="K243" s="1472">
        <v>42300</v>
      </c>
      <c r="L243" s="1473" t="s">
        <v>2127</v>
      </c>
      <c r="M243" s="1474">
        <v>5.2531000000000001E-2</v>
      </c>
      <c r="N243" s="1475">
        <v>1.0858979347985582</v>
      </c>
      <c r="O243" s="1475">
        <v>1.0858979347985582</v>
      </c>
    </row>
    <row r="244" spans="2:15">
      <c r="B244" s="1387">
        <v>39845</v>
      </c>
      <c r="C244" s="1388">
        <v>410.84899999999999</v>
      </c>
      <c r="D244" s="1388">
        <v>2922.73</v>
      </c>
      <c r="E244" s="1388">
        <v>1.0085508573858042</v>
      </c>
      <c r="F244" s="1388">
        <v>21.370577306470185</v>
      </c>
      <c r="K244" s="1472">
        <v>42301</v>
      </c>
      <c r="L244" s="1473"/>
      <c r="M244" s="1474">
        <v>0</v>
      </c>
      <c r="N244" s="1475">
        <v>1.0858979347985582</v>
      </c>
      <c r="O244" s="1475">
        <v>1.0858979347985582</v>
      </c>
    </row>
    <row r="245" spans="2:15">
      <c r="B245" s="1387">
        <v>39873</v>
      </c>
      <c r="C245" s="1388">
        <v>407.80799999999999</v>
      </c>
      <c r="D245" s="1388">
        <v>2928.57</v>
      </c>
      <c r="E245" s="1388">
        <v>1.0097088387156097</v>
      </c>
      <c r="F245" s="1388">
        <v>21.578060794798173</v>
      </c>
      <c r="K245" s="1472">
        <v>42302</v>
      </c>
      <c r="L245" s="1473"/>
      <c r="M245" s="1474">
        <v>0</v>
      </c>
      <c r="N245" s="1475">
        <v>1.0858979347985582</v>
      </c>
      <c r="O245" s="1475">
        <v>1.0858979347985582</v>
      </c>
    </row>
    <row r="246" spans="2:15">
      <c r="B246" s="1387">
        <v>39904</v>
      </c>
      <c r="C246" s="1388">
        <v>407.18099999999998</v>
      </c>
      <c r="D246" s="1388">
        <v>2942.63</v>
      </c>
      <c r="E246" s="1388">
        <v>1.008395669248594</v>
      </c>
      <c r="F246" s="1388">
        <v>21.759223056257351</v>
      </c>
      <c r="K246" s="1472">
        <v>42303</v>
      </c>
      <c r="L246" s="1473" t="s">
        <v>2127</v>
      </c>
      <c r="M246" s="1474">
        <v>5.2531000000000001E-2</v>
      </c>
      <c r="N246" s="1475">
        <v>1.0864683678426872</v>
      </c>
      <c r="O246" s="1475">
        <v>1.0864683678426872</v>
      </c>
    </row>
    <row r="247" spans="2:15">
      <c r="B247" s="1387">
        <v>39934</v>
      </c>
      <c r="C247" s="1388">
        <v>406.88499999999999</v>
      </c>
      <c r="D247" s="1388">
        <v>2956.46</v>
      </c>
      <c r="E247" s="1388">
        <v>1.0077089274459567</v>
      </c>
      <c r="F247" s="1388">
        <v>21.926963328078429</v>
      </c>
      <c r="K247" s="1472">
        <v>42304</v>
      </c>
      <c r="L247" s="1473" t="s">
        <v>2127</v>
      </c>
      <c r="M247" s="1474">
        <v>5.2531000000000001E-2</v>
      </c>
      <c r="N247" s="1475">
        <v>1.0870391005409987</v>
      </c>
      <c r="O247" s="1475">
        <v>1.0870391005409987</v>
      </c>
    </row>
    <row r="248" spans="2:15">
      <c r="B248" s="1387">
        <v>39965</v>
      </c>
      <c r="C248" s="1388">
        <v>406.48599999999999</v>
      </c>
      <c r="D248" s="1388">
        <v>2967.1</v>
      </c>
      <c r="E248" s="1388">
        <v>1.0076218232644543</v>
      </c>
      <c r="F248" s="1388">
        <v>22.094086767291213</v>
      </c>
      <c r="K248" s="1472">
        <v>42305</v>
      </c>
      <c r="L248" s="1473" t="s">
        <v>2127</v>
      </c>
      <c r="M248" s="1474">
        <v>5.2531000000000001E-2</v>
      </c>
      <c r="N248" s="1475">
        <v>1.0876101330509038</v>
      </c>
      <c r="O248" s="1475">
        <v>1.0876101330509038</v>
      </c>
    </row>
    <row r="249" spans="2:15">
      <c r="B249" s="1387">
        <v>39995</v>
      </c>
      <c r="C249" s="1388">
        <v>404.71800000000002</v>
      </c>
      <c r="D249" s="1388">
        <v>2974.22</v>
      </c>
      <c r="E249" s="1388">
        <v>1.0079014252372847</v>
      </c>
      <c r="F249" s="1388">
        <v>22.268661542069044</v>
      </c>
      <c r="K249" s="1472">
        <v>42306</v>
      </c>
      <c r="L249" s="1473" t="s">
        <v>2127</v>
      </c>
      <c r="M249" s="1474">
        <v>5.2531000000000001E-2</v>
      </c>
      <c r="N249" s="1475">
        <v>1.0881814655298967</v>
      </c>
      <c r="O249" s="1475">
        <v>1.0881814655298967</v>
      </c>
    </row>
    <row r="250" spans="2:15">
      <c r="B250" s="1387">
        <v>40026</v>
      </c>
      <c r="C250" s="1388">
        <v>403.25299999999999</v>
      </c>
      <c r="D250" s="1388">
        <v>2978.68</v>
      </c>
      <c r="E250" s="1388">
        <v>1.0069374854840563</v>
      </c>
      <c r="F250" s="1388">
        <v>22.423150058266511</v>
      </c>
      <c r="K250" s="1472">
        <v>42307</v>
      </c>
      <c r="L250" s="1473" t="s">
        <v>2127</v>
      </c>
      <c r="M250" s="1474">
        <v>5.2531000000000001E-2</v>
      </c>
      <c r="N250" s="1475">
        <v>1.0887530981355542</v>
      </c>
      <c r="O250" s="1475">
        <v>1.0887530981355542</v>
      </c>
    </row>
    <row r="251" spans="2:15">
      <c r="B251" s="1387">
        <v>40057</v>
      </c>
      <c r="C251" s="1388">
        <v>404.94499999999999</v>
      </c>
      <c r="D251" s="1388">
        <v>2985.83</v>
      </c>
      <c r="E251" s="1388">
        <v>1.0069374854840563</v>
      </c>
      <c r="F251" s="1388">
        <v>22.578710336302549</v>
      </c>
      <c r="K251" s="1472">
        <v>42308</v>
      </c>
      <c r="L251" s="1473"/>
      <c r="M251" s="1474">
        <v>0</v>
      </c>
      <c r="N251" s="1475">
        <v>1.0887530981355542</v>
      </c>
      <c r="O251" s="1475">
        <v>1.0887530981355542</v>
      </c>
    </row>
    <row r="252" spans="2:15">
      <c r="B252" s="1387">
        <v>40087</v>
      </c>
      <c r="C252" s="1388">
        <v>405.12900000000002</v>
      </c>
      <c r="D252" s="1388">
        <v>2994.19</v>
      </c>
      <c r="E252" s="1388">
        <v>1.006937485484056</v>
      </c>
      <c r="F252" s="1388">
        <v>22.735349811509355</v>
      </c>
      <c r="K252" s="1472">
        <v>42309</v>
      </c>
      <c r="L252" s="1473"/>
      <c r="M252" s="1474">
        <v>0</v>
      </c>
      <c r="N252" s="1475">
        <v>1.0887530981355542</v>
      </c>
      <c r="O252" s="1475">
        <v>1.0887530981355542</v>
      </c>
    </row>
    <row r="253" spans="2:15">
      <c r="B253" s="1387">
        <v>40118</v>
      </c>
      <c r="C253" s="1388">
        <v>405.548</v>
      </c>
      <c r="D253" s="1388">
        <v>3006.47</v>
      </c>
      <c r="E253" s="1388">
        <v>1.006606040313162</v>
      </c>
      <c r="F253" s="1388">
        <v>22.885540448898027</v>
      </c>
      <c r="K253" s="1472">
        <v>42310</v>
      </c>
      <c r="L253" s="1473"/>
      <c r="M253" s="1474">
        <v>0</v>
      </c>
      <c r="N253" s="1475">
        <v>1.0887530981355542</v>
      </c>
      <c r="O253" s="1475">
        <v>1.0887530981355542</v>
      </c>
    </row>
    <row r="254" spans="2:15">
      <c r="B254" s="1387">
        <v>40148</v>
      </c>
      <c r="C254" s="1388">
        <v>404.49900000000002</v>
      </c>
      <c r="D254" s="1388">
        <v>3017.59</v>
      </c>
      <c r="E254" s="1388">
        <v>1.0072686672230315</v>
      </c>
      <c r="F254" s="1388">
        <v>23.051887826640293</v>
      </c>
      <c r="K254" s="1472">
        <v>42311</v>
      </c>
      <c r="L254" s="1473" t="s">
        <v>2127</v>
      </c>
      <c r="M254" s="1474">
        <v>5.2531000000000001E-2</v>
      </c>
      <c r="N254" s="1475">
        <v>1.0893250310255358</v>
      </c>
      <c r="O254" s="1475">
        <v>1.0893250310255358</v>
      </c>
    </row>
    <row r="255" spans="2:15">
      <c r="B255" s="1387">
        <v>40179</v>
      </c>
      <c r="C255" s="1388">
        <v>407.04899999999998</v>
      </c>
      <c r="D255" s="1388">
        <v>3040.22</v>
      </c>
      <c r="E255" s="1388">
        <v>1.0066056679915218</v>
      </c>
      <c r="F255" s="1388">
        <v>23.204160944200883</v>
      </c>
      <c r="K255" s="1472">
        <v>42312</v>
      </c>
      <c r="L255" s="1473" t="s">
        <v>2127</v>
      </c>
      <c r="M255" s="1474">
        <v>5.2531000000000001E-2</v>
      </c>
      <c r="N255" s="1475">
        <v>1.0898972643575837</v>
      </c>
      <c r="O255" s="1475">
        <v>1.0898972643575837</v>
      </c>
    </row>
    <row r="256" spans="2:15">
      <c r="B256" s="1387">
        <v>40210</v>
      </c>
      <c r="C256" s="1388">
        <v>411.84300000000002</v>
      </c>
      <c r="D256" s="1388">
        <v>3063.93</v>
      </c>
      <c r="E256" s="1388">
        <v>1.0059434772325486</v>
      </c>
      <c r="F256" s="1388">
        <v>23.342074346473133</v>
      </c>
      <c r="K256" s="1472">
        <v>42313</v>
      </c>
      <c r="L256" s="1473" t="s">
        <v>2127</v>
      </c>
      <c r="M256" s="1474">
        <v>5.2531000000000001E-2</v>
      </c>
      <c r="N256" s="1475">
        <v>1.0904697982895235</v>
      </c>
      <c r="O256" s="1475">
        <v>1.0904697982895235</v>
      </c>
    </row>
    <row r="257" spans="2:15">
      <c r="B257" s="1387">
        <v>40238</v>
      </c>
      <c r="C257" s="1388">
        <v>415.73399999999998</v>
      </c>
      <c r="D257" s="1388">
        <v>3079.86</v>
      </c>
      <c r="E257" s="1388">
        <v>1.0076007032666325</v>
      </c>
      <c r="F257" s="1388">
        <v>23.519490527208351</v>
      </c>
      <c r="K257" s="1472">
        <v>42314</v>
      </c>
      <c r="L257" s="1473" t="s">
        <v>2127</v>
      </c>
      <c r="M257" s="1474">
        <v>5.2531000000000001E-2</v>
      </c>
      <c r="N257" s="1475">
        <v>1.0910426329792631</v>
      </c>
      <c r="O257" s="1475">
        <v>1.0910426329792631</v>
      </c>
    </row>
    <row r="258" spans="2:15">
      <c r="B258" s="1387">
        <v>40269</v>
      </c>
      <c r="C258" s="1388">
        <v>418.91699999999997</v>
      </c>
      <c r="D258" s="1388">
        <v>3097.42</v>
      </c>
      <c r="E258" s="1388">
        <v>1.0066591320264642</v>
      </c>
      <c r="F258" s="1388">
        <v>23.676109919824206</v>
      </c>
      <c r="K258" s="1472">
        <v>42315</v>
      </c>
      <c r="L258" s="1473"/>
      <c r="M258" s="1474">
        <v>0</v>
      </c>
      <c r="N258" s="1475">
        <v>1.0910426329792631</v>
      </c>
      <c r="O258" s="1475">
        <v>1.0910426329792631</v>
      </c>
    </row>
    <row r="259" spans="2:15">
      <c r="B259" s="1387">
        <v>40299</v>
      </c>
      <c r="C259" s="1388">
        <v>423.88499999999999</v>
      </c>
      <c r="D259" s="1388">
        <v>3110.74</v>
      </c>
      <c r="E259" s="1388">
        <v>1.0075136425194853</v>
      </c>
      <c r="F259" s="1388">
        <v>23.854003746013806</v>
      </c>
      <c r="K259" s="1472">
        <v>42316</v>
      </c>
      <c r="L259" s="1473"/>
      <c r="M259" s="1474">
        <v>0</v>
      </c>
      <c r="N259" s="1475">
        <v>1.0910426329792631</v>
      </c>
      <c r="O259" s="1475">
        <v>1.0910426329792631</v>
      </c>
    </row>
    <row r="260" spans="2:15">
      <c r="B260" s="1387">
        <v>40330</v>
      </c>
      <c r="C260" s="1388">
        <v>427.48899999999998</v>
      </c>
      <c r="D260" s="1388">
        <v>3110.74</v>
      </c>
      <c r="E260" s="1388">
        <v>1.0079257581819461</v>
      </c>
      <c r="F260" s="1388">
        <v>24.043064811375949</v>
      </c>
      <c r="K260" s="1472">
        <v>42317</v>
      </c>
      <c r="L260" s="1473" t="s">
        <v>2127</v>
      </c>
      <c r="M260" s="1474">
        <v>5.2531000000000001E-2</v>
      </c>
      <c r="N260" s="1475">
        <v>1.0916157685847934</v>
      </c>
      <c r="O260" s="1475">
        <v>1.0916157685847934</v>
      </c>
    </row>
    <row r="261" spans="2:15">
      <c r="B261" s="1387">
        <v>40360</v>
      </c>
      <c r="C261" s="1388">
        <v>428.15</v>
      </c>
      <c r="D261" s="1388">
        <v>3111.05</v>
      </c>
      <c r="E261" s="1388">
        <v>1.0086102956499179</v>
      </c>
      <c r="F261" s="1388">
        <v>24.250082707732034</v>
      </c>
      <c r="K261" s="1472">
        <v>42318</v>
      </c>
      <c r="L261" s="1473" t="s">
        <v>2127</v>
      </c>
      <c r="M261" s="1474">
        <v>5.2531000000000001E-2</v>
      </c>
      <c r="N261" s="1475">
        <v>1.0921892052641886</v>
      </c>
      <c r="O261" s="1475">
        <v>1.0921892052641886</v>
      </c>
    </row>
    <row r="262" spans="2:15">
      <c r="B262" s="1387">
        <v>40391</v>
      </c>
      <c r="C262" s="1388">
        <v>431.44499999999999</v>
      </c>
      <c r="D262" s="1388">
        <v>3112.29</v>
      </c>
      <c r="E262" s="1388">
        <v>1.0088820963555043</v>
      </c>
      <c r="F262" s="1388">
        <v>24.465474278971058</v>
      </c>
      <c r="K262" s="1472">
        <v>42319</v>
      </c>
      <c r="L262" s="1473" t="s">
        <v>2127</v>
      </c>
      <c r="M262" s="1474">
        <v>5.2531000000000001E-2</v>
      </c>
      <c r="N262" s="1475">
        <v>1.0927629431756058</v>
      </c>
      <c r="O262" s="1475">
        <v>1.0927629431756058</v>
      </c>
    </row>
    <row r="263" spans="2:15">
      <c r="B263" s="1387">
        <v>40422</v>
      </c>
      <c r="C263" s="1388">
        <v>436.423</v>
      </c>
      <c r="D263" s="1388">
        <v>3126.29</v>
      </c>
      <c r="E263" s="1388">
        <v>1.0084766584844942</v>
      </c>
      <c r="F263" s="1388">
        <v>24.672859749095071</v>
      </c>
      <c r="K263" s="1472">
        <v>42320</v>
      </c>
      <c r="L263" s="1473" t="s">
        <v>2127</v>
      </c>
      <c r="M263" s="1474">
        <v>5.2531000000000001E-2</v>
      </c>
      <c r="N263" s="1475">
        <v>1.0933369824772854</v>
      </c>
      <c r="O263" s="1475">
        <v>1.0933369824772854</v>
      </c>
    </row>
    <row r="264" spans="2:15">
      <c r="B264" s="1387">
        <v>40452</v>
      </c>
      <c r="C264" s="1388">
        <v>440.82900000000001</v>
      </c>
      <c r="D264" s="1388">
        <v>3149.74</v>
      </c>
      <c r="E264" s="1388">
        <v>1.0080713835461668</v>
      </c>
      <c r="F264" s="1388">
        <v>24.872003863310798</v>
      </c>
      <c r="K264" s="1472">
        <v>42321</v>
      </c>
      <c r="L264" s="1473" t="s">
        <v>2127</v>
      </c>
      <c r="M264" s="1474">
        <v>5.2531000000000001E-2</v>
      </c>
      <c r="N264" s="1475">
        <v>1.0939113233275506</v>
      </c>
      <c r="O264" s="1475">
        <v>1.0939113233275506</v>
      </c>
    </row>
    <row r="265" spans="2:15">
      <c r="B265" s="1387">
        <v>40483</v>
      </c>
      <c r="C265" s="1388">
        <v>447.20600000000002</v>
      </c>
      <c r="D265" s="1388">
        <v>3175.88</v>
      </c>
      <c r="E265" s="1388">
        <v>1.008071383546167</v>
      </c>
      <c r="F265" s="1388">
        <v>25.072755346053327</v>
      </c>
      <c r="K265" s="1472">
        <v>42322</v>
      </c>
      <c r="L265" s="1473"/>
      <c r="M265" s="1474">
        <v>0</v>
      </c>
      <c r="N265" s="1475">
        <v>1.0939113233275506</v>
      </c>
      <c r="O265" s="1475">
        <v>1.0939113233275506</v>
      </c>
    </row>
    <row r="266" spans="2:15">
      <c r="B266" s="1387">
        <v>40513</v>
      </c>
      <c r="C266" s="1388">
        <v>450.30099999999999</v>
      </c>
      <c r="D266" s="1388">
        <v>3195.89</v>
      </c>
      <c r="E266" s="1388">
        <v>1.0092887868177591</v>
      </c>
      <c r="F266" s="1388">
        <v>25.305650825396647</v>
      </c>
      <c r="K266" s="1472">
        <v>42323</v>
      </c>
      <c r="L266" s="1473"/>
      <c r="M266" s="1474">
        <v>0</v>
      </c>
      <c r="N266" s="1475">
        <v>1.0939113233275506</v>
      </c>
      <c r="O266" s="1475">
        <v>1.0939113233275506</v>
      </c>
    </row>
    <row r="267" spans="2:15">
      <c r="B267" s="1387">
        <v>40544</v>
      </c>
      <c r="C267" s="1388">
        <v>453.875</v>
      </c>
      <c r="D267" s="1388">
        <v>3222.42</v>
      </c>
      <c r="E267" s="1388">
        <v>1.0086232010755674</v>
      </c>
      <c r="F267" s="1388">
        <v>25.52386654081214</v>
      </c>
      <c r="K267" s="1472">
        <v>42324</v>
      </c>
      <c r="L267" s="1473" t="s">
        <v>2127</v>
      </c>
      <c r="M267" s="1474">
        <v>5.2531000000000001E-2</v>
      </c>
      <c r="N267" s="1475">
        <v>1.0944859658848078</v>
      </c>
      <c r="O267" s="1475">
        <v>1.0944859658848078</v>
      </c>
    </row>
    <row r="268" spans="2:15">
      <c r="B268" s="1387">
        <v>40575</v>
      </c>
      <c r="C268" s="1388">
        <v>458.39699999999999</v>
      </c>
      <c r="D268" s="1388">
        <v>3248.2</v>
      </c>
      <c r="E268" s="1388">
        <v>1.0084390842010735</v>
      </c>
      <c r="F268" s="1388">
        <v>25.739264599687019</v>
      </c>
      <c r="K268" s="1472">
        <v>42325</v>
      </c>
      <c r="L268" s="1473" t="s">
        <v>2127</v>
      </c>
      <c r="M268" s="1474">
        <v>5.2531000000000001E-2</v>
      </c>
      <c r="N268" s="1475">
        <v>1.0950609103075468</v>
      </c>
      <c r="O268" s="1475">
        <v>1.0950609103075468</v>
      </c>
    </row>
    <row r="269" spans="2:15">
      <c r="B269" s="1387">
        <v>40603</v>
      </c>
      <c r="C269" s="1388">
        <v>461.24900000000002</v>
      </c>
      <c r="D269" s="1388">
        <v>3273.86</v>
      </c>
      <c r="E269" s="1388">
        <v>1.0092045846073012</v>
      </c>
      <c r="F269" s="1388">
        <v>25.97618383842455</v>
      </c>
      <c r="K269" s="1472">
        <v>42326</v>
      </c>
      <c r="L269" s="1473" t="s">
        <v>2127</v>
      </c>
      <c r="M269" s="1474">
        <v>5.2531000000000001E-2</v>
      </c>
      <c r="N269" s="1475">
        <v>1.0956361567543405</v>
      </c>
      <c r="O269" s="1475">
        <v>1.0956361567543405</v>
      </c>
    </row>
    <row r="270" spans="2:15">
      <c r="B270" s="1387">
        <v>40634</v>
      </c>
      <c r="C270" s="1388">
        <v>463.31099999999998</v>
      </c>
      <c r="D270" s="1388">
        <v>3299.07</v>
      </c>
      <c r="E270" s="1388">
        <v>1.0084015541577225</v>
      </c>
      <c r="F270" s="1388">
        <v>26.194424153754028</v>
      </c>
      <c r="K270" s="1472">
        <v>42327</v>
      </c>
      <c r="L270" s="1473" t="s">
        <v>2127</v>
      </c>
      <c r="M270" s="1474">
        <v>5.2531000000000001E-2</v>
      </c>
      <c r="N270" s="1475">
        <v>1.0962117053838452</v>
      </c>
      <c r="O270" s="1475">
        <v>1.0962117053838452</v>
      </c>
    </row>
    <row r="271" spans="2:15">
      <c r="B271" s="1387">
        <v>40664</v>
      </c>
      <c r="C271" s="1388">
        <v>465.31099999999998</v>
      </c>
      <c r="D271" s="1388">
        <v>3314.58</v>
      </c>
      <c r="E271" s="1388">
        <v>1.0098798495673293</v>
      </c>
      <c r="F271" s="1388">
        <v>26.453221123895936</v>
      </c>
      <c r="K271" s="1472">
        <v>42328</v>
      </c>
      <c r="L271" s="1473" t="s">
        <v>2127</v>
      </c>
      <c r="M271" s="1474">
        <v>5.2531000000000001E-2</v>
      </c>
      <c r="N271" s="1475">
        <v>1.0967875563548004</v>
      </c>
      <c r="O271" s="1475">
        <v>1.0967875563548004</v>
      </c>
    </row>
    <row r="272" spans="2:15">
      <c r="B272" s="1387">
        <v>40695</v>
      </c>
      <c r="C272" s="1388">
        <v>464.46300000000002</v>
      </c>
      <c r="D272" s="1388">
        <v>3319.55</v>
      </c>
      <c r="E272" s="1388">
        <v>1.0095627565914342</v>
      </c>
      <c r="F272" s="1388">
        <v>26.706186838563141</v>
      </c>
      <c r="K272" s="1472">
        <v>42329</v>
      </c>
      <c r="L272" s="1473"/>
      <c r="M272" s="1474">
        <v>0</v>
      </c>
      <c r="N272" s="1475">
        <v>1.0967875563548004</v>
      </c>
      <c r="O272" s="1475">
        <v>1.0967875563548004</v>
      </c>
    </row>
    <row r="273" spans="2:15">
      <c r="B273" s="1387">
        <v>40725</v>
      </c>
      <c r="C273" s="1388">
        <v>463.92700000000002</v>
      </c>
      <c r="D273" s="1388">
        <v>3324.86</v>
      </c>
      <c r="E273" s="1388">
        <v>1.0096788504099796</v>
      </c>
      <c r="F273" s="1388">
        <v>26.96467202599456</v>
      </c>
      <c r="K273" s="1472">
        <v>42330</v>
      </c>
      <c r="L273" s="1473"/>
      <c r="M273" s="1474">
        <v>0</v>
      </c>
      <c r="N273" s="1475">
        <v>1.0967875563548004</v>
      </c>
      <c r="O273" s="1475">
        <v>1.0967875563548004</v>
      </c>
    </row>
    <row r="274" spans="2:15">
      <c r="B274" s="1387">
        <v>40756</v>
      </c>
      <c r="C274" s="1388">
        <v>465.96800000000002</v>
      </c>
      <c r="D274" s="1388">
        <v>3337.16</v>
      </c>
      <c r="E274" s="1388">
        <v>1.0107406292787873</v>
      </c>
      <c r="F274" s="1388">
        <v>27.254289571849853</v>
      </c>
      <c r="K274" s="1472">
        <v>42331</v>
      </c>
      <c r="L274" s="1473" t="s">
        <v>2127</v>
      </c>
      <c r="M274" s="1474">
        <v>5.2531000000000001E-2</v>
      </c>
      <c r="N274" s="1475">
        <v>1.0973637098260292</v>
      </c>
      <c r="O274" s="1475">
        <v>1.0973637098260292</v>
      </c>
    </row>
    <row r="275" spans="2:15">
      <c r="B275" s="1387">
        <v>40787</v>
      </c>
      <c r="C275" s="1388">
        <v>468.97500000000002</v>
      </c>
      <c r="D275" s="1388">
        <v>3354.85</v>
      </c>
      <c r="E275" s="1388">
        <v>1.00941760689889</v>
      </c>
      <c r="F275" s="1388">
        <v>27.510959757346054</v>
      </c>
      <c r="K275" s="1472">
        <v>42332</v>
      </c>
      <c r="L275" s="1473" t="s">
        <v>2127</v>
      </c>
      <c r="M275" s="1474">
        <v>5.2531000000000001E-2</v>
      </c>
      <c r="N275" s="1475">
        <v>1.0979401659564378</v>
      </c>
      <c r="O275" s="1475">
        <v>1.0979401659564378</v>
      </c>
    </row>
    <row r="276" spans="2:15">
      <c r="B276" s="1387">
        <v>40817</v>
      </c>
      <c r="C276" s="1388">
        <v>471.46600000000001</v>
      </c>
      <c r="D276" s="1388">
        <v>3369.28</v>
      </c>
      <c r="E276" s="1388">
        <v>1.0088195463919019</v>
      </c>
      <c r="F276" s="1388">
        <v>27.753593943211712</v>
      </c>
      <c r="K276" s="1472">
        <v>42333</v>
      </c>
      <c r="L276" s="1473" t="s">
        <v>2127</v>
      </c>
      <c r="M276" s="1474">
        <v>5.2531000000000001E-2</v>
      </c>
      <c r="N276" s="1475">
        <v>1.0985169249050164</v>
      </c>
      <c r="O276" s="1475">
        <v>1.0985169249050164</v>
      </c>
    </row>
    <row r="277" spans="2:15">
      <c r="B277" s="1387">
        <v>40848</v>
      </c>
      <c r="C277" s="1388">
        <v>473.80799999999999</v>
      </c>
      <c r="D277" s="1388">
        <v>3386.8</v>
      </c>
      <c r="E277" s="1388">
        <v>1.0086047745492386</v>
      </c>
      <c r="F277" s="1388">
        <v>27.992407362024164</v>
      </c>
      <c r="K277" s="1472">
        <v>42334</v>
      </c>
      <c r="L277" s="1473" t="s">
        <v>2127</v>
      </c>
      <c r="M277" s="1474">
        <v>5.2531000000000001E-2</v>
      </c>
      <c r="N277" s="1475">
        <v>1.0990939868308383</v>
      </c>
      <c r="O277" s="1475">
        <v>1.0990939868308383</v>
      </c>
    </row>
    <row r="278" spans="2:15">
      <c r="B278" s="1387">
        <v>40878</v>
      </c>
      <c r="C278" s="1388">
        <v>473.25200000000001</v>
      </c>
      <c r="D278" s="1388">
        <v>3403.73</v>
      </c>
      <c r="E278" s="1388">
        <v>1.0090732804800764</v>
      </c>
      <c r="F278" s="1388">
        <v>28.246390325332364</v>
      </c>
      <c r="K278" s="1472">
        <v>42335</v>
      </c>
      <c r="L278" s="1473" t="s">
        <v>2127</v>
      </c>
      <c r="M278" s="1474">
        <v>5.2531000000000001E-2</v>
      </c>
      <c r="N278" s="1475">
        <v>1.0996713518930603</v>
      </c>
      <c r="O278" s="1475">
        <v>1.0996713518930603</v>
      </c>
    </row>
    <row r="279" spans="2:15">
      <c r="B279" s="1387">
        <v>40909</v>
      </c>
      <c r="C279" s="1388">
        <v>474.42899999999997</v>
      </c>
      <c r="D279" s="1388">
        <v>3422.79</v>
      </c>
      <c r="E279" s="1388">
        <v>1.0089101617717657</v>
      </c>
      <c r="F279" s="1388">
        <v>28.498070232599513</v>
      </c>
      <c r="K279" s="1472">
        <v>42336</v>
      </c>
      <c r="L279" s="1473"/>
      <c r="M279" s="1474">
        <v>0</v>
      </c>
      <c r="N279" s="1475">
        <v>1.0996713518930603</v>
      </c>
      <c r="O279" s="1475">
        <v>1.0996713518930603</v>
      </c>
    </row>
    <row r="280" spans="2:15">
      <c r="B280" s="1387">
        <v>40940</v>
      </c>
      <c r="C280" s="1388">
        <v>474.13799999999998</v>
      </c>
      <c r="D280" s="1388">
        <v>3438.19</v>
      </c>
      <c r="E280" s="1388">
        <v>1.0074877292470876</v>
      </c>
      <c r="F280" s="1388">
        <v>28.711456066565706</v>
      </c>
      <c r="K280" s="1472">
        <v>42337</v>
      </c>
      <c r="L280" s="1473"/>
      <c r="M280" s="1474">
        <v>0</v>
      </c>
      <c r="N280" s="1475">
        <v>1.0996713518930603</v>
      </c>
      <c r="O280" s="1475">
        <v>1.0996713518930603</v>
      </c>
    </row>
    <row r="281" spans="2:15">
      <c r="B281" s="1387">
        <v>40969</v>
      </c>
      <c r="C281" s="1388">
        <v>476.166</v>
      </c>
      <c r="D281" s="1388">
        <v>3445.41</v>
      </c>
      <c r="E281" s="1388">
        <v>1.0082113884808406</v>
      </c>
      <c r="F281" s="1388">
        <v>28.947216986178862</v>
      </c>
      <c r="K281" s="1472">
        <v>42338</v>
      </c>
      <c r="L281" s="1473" t="s">
        <v>2127</v>
      </c>
      <c r="M281" s="1474">
        <v>5.2531000000000001E-2</v>
      </c>
      <c r="N281" s="1475">
        <v>1.1002490202509232</v>
      </c>
      <c r="O281" s="1475">
        <v>1.1002490202509232</v>
      </c>
    </row>
    <row r="282" spans="2:15">
      <c r="B282" s="1387">
        <v>41000</v>
      </c>
      <c r="C282" s="1388">
        <v>480.22899999999998</v>
      </c>
      <c r="D282" s="1388">
        <v>3467.46</v>
      </c>
      <c r="E282" s="1388">
        <v>1.0071187588624242</v>
      </c>
      <c r="F282" s="1388">
        <v>29.15328524364174</v>
      </c>
      <c r="K282" s="1472">
        <v>42339</v>
      </c>
      <c r="L282" s="1473" t="s">
        <v>2127</v>
      </c>
      <c r="M282" s="1474">
        <v>5.2531000000000001E-2</v>
      </c>
      <c r="N282" s="1475">
        <v>1.1008269920637512</v>
      </c>
      <c r="O282" s="1475">
        <v>1.1008269920637512</v>
      </c>
    </row>
    <row r="283" spans="2:15">
      <c r="B283" s="1387">
        <v>41030</v>
      </c>
      <c r="C283" s="1388">
        <v>485.14</v>
      </c>
      <c r="D283" s="1388">
        <v>3479.94</v>
      </c>
      <c r="E283" s="1388">
        <v>1.007447242329657</v>
      </c>
      <c r="F283" s="1388">
        <v>29.370396823556753</v>
      </c>
      <c r="G283" s="11"/>
      <c r="K283" s="1472">
        <v>42340</v>
      </c>
      <c r="L283" s="1473" t="s">
        <v>2127</v>
      </c>
      <c r="M283" s="1474">
        <v>5.2531000000000001E-2</v>
      </c>
      <c r="N283" s="1475">
        <v>1.1014052674909522</v>
      </c>
      <c r="O283" s="1475">
        <v>1.1014052674909522</v>
      </c>
    </row>
    <row r="284" spans="2:15">
      <c r="B284" s="1387">
        <v>41061</v>
      </c>
      <c r="C284" s="1388">
        <v>488.34199999999998</v>
      </c>
      <c r="D284" s="1388">
        <v>3482.72</v>
      </c>
      <c r="E284" s="1388">
        <v>1.0064150263426446</v>
      </c>
      <c r="F284" s="1388">
        <v>29.558808692873793</v>
      </c>
      <c r="K284" s="1472">
        <v>42341</v>
      </c>
      <c r="L284" s="1473" t="s">
        <v>2127</v>
      </c>
      <c r="M284" s="1474">
        <v>5.2531000000000001E-2</v>
      </c>
      <c r="N284" s="1475">
        <v>1.101983846692018</v>
      </c>
      <c r="O284" s="1475">
        <v>1.101983846692018</v>
      </c>
    </row>
    <row r="285" spans="2:15">
      <c r="B285" s="1387">
        <v>41091</v>
      </c>
      <c r="C285" s="1388">
        <v>494.89100000000002</v>
      </c>
      <c r="D285" s="1388">
        <v>3497.7</v>
      </c>
      <c r="E285" s="1388">
        <v>1.0067996486835762</v>
      </c>
      <c r="F285" s="1388">
        <v>29.759798207490373</v>
      </c>
      <c r="K285" s="1472">
        <v>42342</v>
      </c>
      <c r="L285" s="1473" t="s">
        <v>2127</v>
      </c>
      <c r="M285" s="1474">
        <v>5.2531000000000001E-2</v>
      </c>
      <c r="N285" s="1475">
        <v>1.1025627298265237</v>
      </c>
      <c r="O285" s="1475">
        <v>1.1025627298265237</v>
      </c>
    </row>
    <row r="286" spans="2:15">
      <c r="B286" s="1387">
        <v>41122</v>
      </c>
      <c r="C286" s="1388">
        <v>501.95699999999999</v>
      </c>
      <c r="D286" s="1388">
        <v>3512.04</v>
      </c>
      <c r="E286" s="1388">
        <v>1.0069181066014252</v>
      </c>
      <c r="F286" s="1388">
        <v>29.965679663926696</v>
      </c>
      <c r="K286" s="1472">
        <v>42343</v>
      </c>
      <c r="L286" s="1473"/>
      <c r="M286" s="1474">
        <v>0</v>
      </c>
      <c r="N286" s="1475">
        <v>1.1025627298265237</v>
      </c>
      <c r="O286" s="1475">
        <v>1.1025627298265237</v>
      </c>
    </row>
    <row r="287" spans="2:15">
      <c r="B287" s="1387">
        <v>41153</v>
      </c>
      <c r="C287" s="1388">
        <v>506.80399999999997</v>
      </c>
      <c r="D287" s="1388">
        <v>3532.06</v>
      </c>
      <c r="E287" s="1388">
        <v>1.0053899533259578</v>
      </c>
      <c r="F287" s="1388">
        <v>30.127193278695866</v>
      </c>
      <c r="K287" s="1472">
        <v>42344</v>
      </c>
      <c r="L287" s="1473"/>
      <c r="M287" s="1474">
        <v>0</v>
      </c>
      <c r="N287" s="1475">
        <v>1.1025627298265237</v>
      </c>
      <c r="O287" s="1475">
        <v>1.1025627298265237</v>
      </c>
    </row>
    <row r="288" spans="2:15">
      <c r="B288" s="1387">
        <v>41183</v>
      </c>
      <c r="C288" s="1388">
        <v>506.92599999999999</v>
      </c>
      <c r="D288" s="1388">
        <v>3552.9</v>
      </c>
      <c r="E288" s="1388">
        <v>1.0061133864051108</v>
      </c>
      <c r="F288" s="1388">
        <v>30.311372452509993</v>
      </c>
      <c r="K288" s="1472">
        <v>42345</v>
      </c>
      <c r="L288" s="1473" t="s">
        <v>2127</v>
      </c>
      <c r="M288" s="1474">
        <v>5.2531000000000001E-2</v>
      </c>
      <c r="N288" s="1475">
        <v>1.1031419170541288</v>
      </c>
      <c r="O288" s="1475">
        <v>1.1031419170541288</v>
      </c>
    </row>
    <row r="289" spans="2:15">
      <c r="B289" s="1387">
        <v>41214</v>
      </c>
      <c r="C289" s="1388">
        <v>506.79500000000002</v>
      </c>
      <c r="D289" s="1388">
        <v>3574.22</v>
      </c>
      <c r="E289" s="1388">
        <v>1.0054884576647556</v>
      </c>
      <c r="F289" s="1388">
        <v>30.477735136976232</v>
      </c>
      <c r="K289" s="1472">
        <v>42346</v>
      </c>
      <c r="L289" s="1473" t="s">
        <v>2127</v>
      </c>
      <c r="M289" s="1474">
        <v>5.2531000000000001E-2</v>
      </c>
      <c r="N289" s="1475">
        <v>1.1037214085345766</v>
      </c>
      <c r="O289" s="1475">
        <v>1.1037214085345766</v>
      </c>
    </row>
    <row r="290" spans="2:15">
      <c r="B290" s="1387">
        <v>41244</v>
      </c>
      <c r="C290" s="1388">
        <v>510.25200000000001</v>
      </c>
      <c r="D290" s="1388">
        <v>3602.46</v>
      </c>
      <c r="E290" s="1388">
        <v>1.0055015154231364</v>
      </c>
      <c r="F290" s="1388">
        <v>30.645408866894574</v>
      </c>
      <c r="K290" s="1472">
        <v>42347</v>
      </c>
      <c r="L290" s="1473" t="s">
        <v>2127</v>
      </c>
      <c r="M290" s="1474">
        <v>5.2531000000000001E-2</v>
      </c>
      <c r="N290" s="1475">
        <v>1.1043012044276939</v>
      </c>
      <c r="O290" s="1475">
        <v>1.1043012044276939</v>
      </c>
    </row>
    <row r="291" spans="2:15">
      <c r="B291" s="1387">
        <v>41275</v>
      </c>
      <c r="C291" s="1388">
        <v>511.97699999999998</v>
      </c>
      <c r="D291" s="1388">
        <v>3633.44</v>
      </c>
      <c r="E291" s="1388">
        <v>1.0060143970219473</v>
      </c>
      <c r="F291" s="1388">
        <v>30.82972252271998</v>
      </c>
      <c r="K291" s="1472">
        <v>42348</v>
      </c>
      <c r="L291" s="1473" t="s">
        <v>2127</v>
      </c>
      <c r="M291" s="1474">
        <v>5.2531000000000001E-2</v>
      </c>
      <c r="N291" s="1475">
        <v>1.1048813048933919</v>
      </c>
      <c r="O291" s="1475">
        <v>1.1048813048933919</v>
      </c>
    </row>
    <row r="292" spans="2:15">
      <c r="B292" s="1387">
        <v>41306</v>
      </c>
      <c r="C292" s="1388">
        <v>513.46699999999998</v>
      </c>
      <c r="D292" s="1388">
        <v>3655.24</v>
      </c>
      <c r="E292" s="1388">
        <v>1.0049274991744226</v>
      </c>
      <c r="F292" s="1388">
        <v>30.98163595499836</v>
      </c>
      <c r="K292" s="1472">
        <v>42349</v>
      </c>
      <c r="L292" s="1473" t="s">
        <v>2127</v>
      </c>
      <c r="M292" s="1474">
        <v>5.2531000000000001E-2</v>
      </c>
      <c r="N292" s="1475">
        <v>1.1054617100916655</v>
      </c>
      <c r="O292" s="1475">
        <v>1.1054617100916655</v>
      </c>
    </row>
    <row r="293" spans="2:15">
      <c r="B293" s="1387">
        <v>41334</v>
      </c>
      <c r="C293" s="1388">
        <v>514.52599999999995</v>
      </c>
      <c r="D293" s="1388">
        <v>3672.42</v>
      </c>
      <c r="E293" s="1388">
        <v>1.0054940366101026</v>
      </c>
      <c r="F293" s="1388">
        <v>31.151850197175992</v>
      </c>
      <c r="K293" s="1472">
        <v>42350</v>
      </c>
      <c r="L293" s="1473"/>
      <c r="M293" s="1474">
        <v>0</v>
      </c>
      <c r="N293" s="1475">
        <v>1.1054617100916655</v>
      </c>
      <c r="O293" s="1475">
        <v>1.1054617100916655</v>
      </c>
    </row>
    <row r="294" spans="2:15">
      <c r="B294" s="1387">
        <v>41365</v>
      </c>
      <c r="C294" s="1388">
        <v>515.27599999999995</v>
      </c>
      <c r="D294" s="1388">
        <v>3692.62</v>
      </c>
      <c r="E294" s="1388">
        <v>1.0061364605097283</v>
      </c>
      <c r="F294" s="1388">
        <v>31.343012295715933</v>
      </c>
      <c r="K294" s="1472">
        <v>42351</v>
      </c>
      <c r="L294" s="1473"/>
      <c r="M294" s="1474">
        <v>0</v>
      </c>
      <c r="N294" s="1475">
        <v>1.1054617100916655</v>
      </c>
      <c r="O294" s="1475">
        <v>1.1054617100916655</v>
      </c>
    </row>
    <row r="295" spans="2:15">
      <c r="B295" s="1387">
        <v>41395</v>
      </c>
      <c r="C295" s="1388">
        <v>515.29899999999998</v>
      </c>
      <c r="D295" s="1388">
        <v>3706.28</v>
      </c>
      <c r="E295" s="1388">
        <v>1.0059853629993882</v>
      </c>
      <c r="F295" s="1388">
        <v>31.530611601800082</v>
      </c>
      <c r="K295" s="1472">
        <v>42352</v>
      </c>
      <c r="L295" s="1473" t="s">
        <v>2127</v>
      </c>
      <c r="M295" s="1474">
        <v>5.2531000000000001E-2</v>
      </c>
      <c r="N295" s="1475">
        <v>1.1060424201825938</v>
      </c>
      <c r="O295" s="1475">
        <v>1.1060424201825938</v>
      </c>
    </row>
    <row r="296" spans="2:15">
      <c r="B296" s="1387">
        <v>41426</v>
      </c>
      <c r="C296" s="1388">
        <v>519.15300000000002</v>
      </c>
      <c r="D296" s="1388">
        <v>3715.92</v>
      </c>
      <c r="E296" s="1388">
        <v>1.0060527337434972</v>
      </c>
      <c r="F296" s="1388">
        <v>31.721457998595405</v>
      </c>
      <c r="G296" s="66"/>
      <c r="K296" s="1472">
        <v>42353</v>
      </c>
      <c r="L296" s="1473" t="s">
        <v>2127</v>
      </c>
      <c r="M296" s="1474">
        <v>5.2531000000000001E-2</v>
      </c>
      <c r="N296" s="1475">
        <v>1.10662343532634</v>
      </c>
      <c r="O296" s="1475">
        <v>1.10662343532634</v>
      </c>
    </row>
    <row r="297" spans="2:15">
      <c r="B297" s="1387">
        <v>41456</v>
      </c>
      <c r="C297" s="1388">
        <v>520.50800000000004</v>
      </c>
      <c r="D297" s="1388">
        <v>3717.03</v>
      </c>
      <c r="E297" s="1388">
        <v>1.0072409169740031</v>
      </c>
      <c r="F297" s="1388">
        <v>31.951150442257561</v>
      </c>
      <c r="K297" s="1472">
        <v>42354</v>
      </c>
      <c r="L297" s="1473" t="s">
        <v>2127</v>
      </c>
      <c r="M297" s="1474">
        <v>5.2531000000000001E-2</v>
      </c>
      <c r="N297" s="1475">
        <v>1.1072047556831512</v>
      </c>
      <c r="O297" s="1475">
        <v>1.1072047556831512</v>
      </c>
    </row>
    <row r="298" spans="2:15">
      <c r="B298" s="1387">
        <v>41487</v>
      </c>
      <c r="C298" s="1388">
        <v>521.27</v>
      </c>
      <c r="D298" s="1388">
        <v>3725.95</v>
      </c>
      <c r="E298" s="1388">
        <v>1.0071031495053051</v>
      </c>
      <c r="F298" s="1388">
        <v>32.178104240715413</v>
      </c>
      <c r="K298" s="1472">
        <v>42355</v>
      </c>
      <c r="L298" s="1473" t="s">
        <v>2127</v>
      </c>
      <c r="M298" s="1474">
        <v>5.2531000000000001E-2</v>
      </c>
      <c r="N298" s="1475">
        <v>1.1077863814133591</v>
      </c>
      <c r="O298" s="1475">
        <v>1.1077863814133591</v>
      </c>
    </row>
    <row r="299" spans="2:15">
      <c r="B299" s="1387">
        <v>41518</v>
      </c>
      <c r="C299" s="1388">
        <v>529.08500000000004</v>
      </c>
      <c r="D299" s="1388">
        <v>3738.99</v>
      </c>
      <c r="E299" s="1388">
        <v>1.0071302882501354</v>
      </c>
      <c r="F299" s="1388">
        <v>32.407543399294617</v>
      </c>
      <c r="K299" s="1472">
        <v>42356</v>
      </c>
      <c r="L299" s="1473" t="s">
        <v>2127</v>
      </c>
      <c r="M299" s="1474">
        <v>5.2531000000000001E-2</v>
      </c>
      <c r="N299" s="1475">
        <v>1.1083683126773793</v>
      </c>
      <c r="O299" s="1475">
        <v>1.1083683126773793</v>
      </c>
    </row>
    <row r="300" spans="2:15">
      <c r="B300" s="1387">
        <v>41548</v>
      </c>
      <c r="C300" s="1388">
        <v>533.62099999999998</v>
      </c>
      <c r="D300" s="1388">
        <v>3760.3</v>
      </c>
      <c r="E300" s="1388">
        <v>1.0081051023495244</v>
      </c>
      <c r="F300" s="1388">
        <v>32.670209855442558</v>
      </c>
      <c r="G300" s="67"/>
      <c r="K300" s="1472">
        <v>42357</v>
      </c>
      <c r="L300" s="1473"/>
      <c r="M300" s="1474">
        <v>0</v>
      </c>
      <c r="N300" s="1475">
        <v>1.1083683126773793</v>
      </c>
      <c r="O300" s="1475">
        <v>1.1083683126773793</v>
      </c>
    </row>
    <row r="301" spans="2:15">
      <c r="B301" s="1387">
        <v>41579</v>
      </c>
      <c r="C301" s="1388">
        <v>535.16800000000001</v>
      </c>
      <c r="D301" s="1388">
        <v>3780.61</v>
      </c>
      <c r="E301" s="1388">
        <v>1.0071920752752215</v>
      </c>
      <c r="F301" s="1388">
        <v>32.905176463980183</v>
      </c>
      <c r="G301" s="67"/>
      <c r="K301" s="1472">
        <v>42358</v>
      </c>
      <c r="L301" s="1473"/>
      <c r="M301" s="1474">
        <v>0</v>
      </c>
      <c r="N301" s="1475">
        <v>1.1083683126773793</v>
      </c>
      <c r="O301" s="1475">
        <v>1.1083683126773793</v>
      </c>
    </row>
    <row r="302" spans="2:15">
      <c r="B302" s="1387">
        <v>41609</v>
      </c>
      <c r="C302" s="1388">
        <v>538.37</v>
      </c>
      <c r="D302" s="1388">
        <v>3815.39</v>
      </c>
      <c r="E302" s="1388">
        <v>1.0078974581644051</v>
      </c>
      <c r="F302" s="1388">
        <v>33.165043718496833</v>
      </c>
      <c r="G302" s="66"/>
      <c r="K302" s="1472">
        <v>42359</v>
      </c>
      <c r="L302" s="1473" t="s">
        <v>2127</v>
      </c>
      <c r="M302" s="1474">
        <v>5.2531000000000001E-2</v>
      </c>
      <c r="N302" s="1475">
        <v>1.1089505496357119</v>
      </c>
      <c r="O302" s="1475">
        <v>1.1089505496357119</v>
      </c>
    </row>
    <row r="303" spans="2:15">
      <c r="B303" s="1387">
        <v>41640</v>
      </c>
      <c r="C303" s="1388">
        <v>540.95899999999995</v>
      </c>
      <c r="D303" s="1388">
        <v>3836.38</v>
      </c>
      <c r="E303" s="1388">
        <v>1.0084934395272054</v>
      </c>
      <c r="F303" s="1388">
        <v>33.446729011737006</v>
      </c>
      <c r="K303" s="1472">
        <v>42360</v>
      </c>
      <c r="L303" s="1473" t="s">
        <v>2127</v>
      </c>
      <c r="M303" s="1474">
        <v>5.2531000000000001E-2</v>
      </c>
      <c r="N303" s="1475">
        <v>1.109533092448941</v>
      </c>
      <c r="O303" s="1475">
        <v>1.109533092448941</v>
      </c>
    </row>
    <row r="304" spans="2:15">
      <c r="B304" s="1387">
        <v>41671</v>
      </c>
      <c r="C304" s="1388">
        <v>543.03800000000001</v>
      </c>
      <c r="D304" s="1388">
        <v>3862.84</v>
      </c>
      <c r="E304" s="1388">
        <v>1.007901464239193</v>
      </c>
      <c r="F304" s="1388">
        <v>33.711007144941227</v>
      </c>
      <c r="K304" s="1472">
        <v>42361</v>
      </c>
      <c r="L304" s="1473" t="s">
        <v>2127</v>
      </c>
      <c r="M304" s="1474">
        <v>5.2531000000000001E-2</v>
      </c>
      <c r="N304" s="1475">
        <v>1.1101159412777355</v>
      </c>
      <c r="O304" s="1475">
        <v>1.1101159412777355</v>
      </c>
    </row>
    <row r="305" spans="2:15">
      <c r="B305" s="1387">
        <v>41699</v>
      </c>
      <c r="C305" s="1388">
        <v>552.08699999999999</v>
      </c>
      <c r="D305" s="1388">
        <v>3898.38</v>
      </c>
      <c r="E305" s="1388">
        <v>1.0076595732083427</v>
      </c>
      <c r="F305" s="1388">
        <v>33.969219072094866</v>
      </c>
      <c r="K305" s="1472">
        <v>42362</v>
      </c>
      <c r="L305" s="1473" t="s">
        <v>2127</v>
      </c>
      <c r="M305" s="1474">
        <v>5.2531000000000001E-2</v>
      </c>
      <c r="N305" s="1475">
        <v>1.110699096282848</v>
      </c>
      <c r="O305" s="1475">
        <v>1.110699096282848</v>
      </c>
    </row>
    <row r="306" spans="2:15">
      <c r="B306" s="1387">
        <v>41730</v>
      </c>
      <c r="C306" s="1388">
        <v>556.41999999999996</v>
      </c>
      <c r="D306" s="1388">
        <v>3924.5</v>
      </c>
      <c r="E306" s="1388">
        <v>1.0082266762081393</v>
      </c>
      <c r="F306" s="1388">
        <v>34.248672838444342</v>
      </c>
      <c r="K306" s="1472">
        <v>42363</v>
      </c>
      <c r="L306" s="1473"/>
      <c r="M306" s="1474">
        <v>0</v>
      </c>
      <c r="N306" s="1475">
        <v>1.110699096282848</v>
      </c>
      <c r="O306" s="1475">
        <v>1.110699096282848</v>
      </c>
    </row>
    <row r="307" spans="2:15">
      <c r="B307" s="1387">
        <v>41760</v>
      </c>
      <c r="C307" s="1388">
        <v>555.67899999999997</v>
      </c>
      <c r="D307" s="1388">
        <v>3942.55</v>
      </c>
      <c r="E307" s="1388">
        <v>1.0086587318278823</v>
      </c>
      <c r="F307" s="1388">
        <v>34.545222912013308</v>
      </c>
      <c r="K307" s="1472">
        <v>42364</v>
      </c>
      <c r="L307" s="1473"/>
      <c r="M307" s="1474">
        <v>0</v>
      </c>
      <c r="N307" s="1475">
        <v>1.110699096282848</v>
      </c>
      <c r="O307" s="1475">
        <v>1.110699096282848</v>
      </c>
    </row>
    <row r="308" spans="2:15">
      <c r="B308" s="1387">
        <v>41791</v>
      </c>
      <c r="C308" s="1388">
        <v>551.55399999999997</v>
      </c>
      <c r="D308" s="1388">
        <v>3958.32</v>
      </c>
      <c r="E308" s="1388">
        <v>1.0082447163000285</v>
      </c>
      <c r="F308" s="1388">
        <v>34.830038474444102</v>
      </c>
      <c r="K308" s="1472">
        <v>42365</v>
      </c>
      <c r="L308" s="1473"/>
      <c r="M308" s="1474">
        <v>0</v>
      </c>
      <c r="N308" s="1475">
        <v>1.110699096282848</v>
      </c>
      <c r="O308" s="1475">
        <v>1.110699096282848</v>
      </c>
    </row>
    <row r="309" spans="2:15">
      <c r="B309" s="1387">
        <v>41821</v>
      </c>
      <c r="C309" s="1388">
        <v>548.202</v>
      </c>
      <c r="D309" s="1388">
        <v>3958.72</v>
      </c>
      <c r="E309" s="1388">
        <v>1.0094872729749897</v>
      </c>
      <c r="F309" s="1388">
        <v>35.160480557180549</v>
      </c>
      <c r="K309" s="1472">
        <v>42366</v>
      </c>
      <c r="L309" s="1473" t="s">
        <v>2127</v>
      </c>
      <c r="M309" s="1474">
        <v>5.2531000000000001E-2</v>
      </c>
      <c r="N309" s="1475">
        <v>1.1112825576251164</v>
      </c>
      <c r="O309" s="1475">
        <v>1.1112825576251164</v>
      </c>
    </row>
    <row r="310" spans="2:15">
      <c r="B310" s="1387">
        <v>41852</v>
      </c>
      <c r="C310" s="1388">
        <v>546.745</v>
      </c>
      <c r="D310" s="1388">
        <v>3968.62</v>
      </c>
      <c r="E310" s="1388">
        <v>1.0086598207325679</v>
      </c>
      <c r="F310" s="1388">
        <v>35.464964015676671</v>
      </c>
      <c r="K310" s="1472">
        <v>42367</v>
      </c>
      <c r="L310" s="1473" t="s">
        <v>2127</v>
      </c>
      <c r="M310" s="1474">
        <v>5.2531000000000001E-2</v>
      </c>
      <c r="N310" s="1475">
        <v>1.1118663254654624</v>
      </c>
      <c r="O310" s="1475">
        <v>1.1118663254654624</v>
      </c>
    </row>
    <row r="311" spans="2:15">
      <c r="B311" s="1387">
        <v>41883</v>
      </c>
      <c r="C311" s="1388">
        <v>547.83900000000006</v>
      </c>
      <c r="D311" s="1388">
        <v>3991.24</v>
      </c>
      <c r="E311" s="1388">
        <v>1.0090729173629331</v>
      </c>
      <c r="F311" s="1388">
        <v>35.786734703470302</v>
      </c>
      <c r="K311" s="1472">
        <v>42368</v>
      </c>
      <c r="L311" s="1473" t="s">
        <v>2127</v>
      </c>
      <c r="M311" s="1474">
        <v>5.2531000000000001E-2</v>
      </c>
      <c r="N311" s="1475">
        <v>1.1124503999648927</v>
      </c>
      <c r="O311" s="1475">
        <v>1.1124503999648927</v>
      </c>
    </row>
    <row r="312" spans="2:15">
      <c r="B312" s="1387">
        <v>41913</v>
      </c>
      <c r="C312" s="1388">
        <v>549.39599999999996</v>
      </c>
      <c r="D312" s="1388">
        <v>4008</v>
      </c>
      <c r="E312" s="1388">
        <v>1.009505315279368</v>
      </c>
      <c r="F312" s="1388">
        <v>36.126898899645887</v>
      </c>
      <c r="K312" s="1472">
        <v>42369</v>
      </c>
      <c r="L312" s="1473" t="s">
        <v>2127</v>
      </c>
      <c r="M312" s="1474">
        <v>5.2531000000000001E-2</v>
      </c>
      <c r="N312" s="1475">
        <v>1.1130347812844983</v>
      </c>
      <c r="O312" s="1475">
        <v>1.1130347812844983</v>
      </c>
    </row>
    <row r="313" spans="2:15">
      <c r="B313" s="1387">
        <v>41944</v>
      </c>
      <c r="C313" s="1388">
        <v>554.76900000000001</v>
      </c>
      <c r="D313" s="1388">
        <v>4028.44</v>
      </c>
      <c r="E313" s="1388">
        <v>1.0084249317586502</v>
      </c>
      <c r="F313" s="1388">
        <v>36.431265557527063</v>
      </c>
      <c r="K313" s="1472">
        <v>42370</v>
      </c>
      <c r="L313" s="1473"/>
      <c r="M313" s="1474">
        <v>0</v>
      </c>
      <c r="N313" s="1475">
        <v>1.1130347812844983</v>
      </c>
      <c r="O313" s="1475">
        <v>1.1130347812844983</v>
      </c>
    </row>
    <row r="314" spans="2:15">
      <c r="B314" s="1387">
        <v>41974</v>
      </c>
      <c r="C314" s="1388">
        <v>558.21299999999997</v>
      </c>
      <c r="D314" s="1388">
        <v>4059.86</v>
      </c>
      <c r="E314" s="1388">
        <v>1.0096129495106978</v>
      </c>
      <c r="F314" s="1388">
        <v>36.781477473942395</v>
      </c>
      <c r="K314" s="1472">
        <v>42371</v>
      </c>
      <c r="L314" s="1473"/>
      <c r="M314" s="1474">
        <v>0</v>
      </c>
      <c r="N314" s="1475">
        <v>1.1130347812844983</v>
      </c>
      <c r="O314" s="1475">
        <v>1.1130347812844983</v>
      </c>
    </row>
    <row r="315" spans="2:15">
      <c r="B315" s="1387">
        <v>42005</v>
      </c>
      <c r="C315" s="1388">
        <v>562.48199999999997</v>
      </c>
      <c r="D315" s="1388">
        <v>4110.2</v>
      </c>
      <c r="E315" s="1388">
        <v>1.0093507541041149</v>
      </c>
      <c r="F315" s="1388">
        <v>37.12541202538727</v>
      </c>
      <c r="K315" s="1472">
        <v>42372</v>
      </c>
      <c r="L315" s="1473"/>
      <c r="M315" s="1474">
        <v>0</v>
      </c>
      <c r="N315" s="1475">
        <v>1.1130347812844983</v>
      </c>
      <c r="O315" s="1475">
        <v>1.1130347812844983</v>
      </c>
    </row>
    <row r="316" spans="2:15">
      <c r="B316" s="1387">
        <v>42036</v>
      </c>
      <c r="C316" s="1388">
        <v>564.00400000000002</v>
      </c>
      <c r="D316" s="1388">
        <v>4160.34</v>
      </c>
      <c r="E316" s="1388">
        <v>1.0082241099890967</v>
      </c>
      <c r="F316" s="1388">
        <v>37.43073549727459</v>
      </c>
      <c r="K316" s="1472">
        <v>42373</v>
      </c>
      <c r="L316" s="1473" t="s">
        <v>2127</v>
      </c>
      <c r="M316" s="1474">
        <v>5.2531000000000001E-2</v>
      </c>
      <c r="N316" s="1475">
        <v>1.1136194695854549</v>
      </c>
      <c r="O316" s="1475">
        <v>1.1136194695854549</v>
      </c>
    </row>
    <row r="317" spans="2:15">
      <c r="B317" s="1387">
        <v>42064</v>
      </c>
      <c r="C317" s="1388">
        <v>569.53599999999994</v>
      </c>
      <c r="D317" s="1388">
        <v>4215.26</v>
      </c>
      <c r="E317" s="1388">
        <v>1.0103996710699541</v>
      </c>
      <c r="F317" s="1388">
        <v>37.820002834352699</v>
      </c>
      <c r="K317" s="1472">
        <v>42374</v>
      </c>
      <c r="L317" s="1473" t="s">
        <v>2127</v>
      </c>
      <c r="M317" s="1474">
        <v>5.2531000000000001E-2</v>
      </c>
      <c r="N317" s="1475">
        <v>1.1142044650290228</v>
      </c>
      <c r="O317" s="1475">
        <v>1.1142044650290228</v>
      </c>
    </row>
    <row r="318" spans="2:15">
      <c r="B318" s="1387">
        <v>42095</v>
      </c>
      <c r="C318" s="1388">
        <v>576.17499999999995</v>
      </c>
      <c r="D318" s="1388">
        <v>4245.1899999999996</v>
      </c>
      <c r="E318" s="1388">
        <v>1.0095179160892187</v>
      </c>
      <c r="F318" s="1388">
        <v>38.179970447824083</v>
      </c>
      <c r="K318" s="1472">
        <v>42375</v>
      </c>
      <c r="L318" s="1473" t="s">
        <v>2127</v>
      </c>
      <c r="M318" s="1474">
        <v>5.2531000000000001E-2</v>
      </c>
      <c r="N318" s="1475">
        <v>1.1147897677765473</v>
      </c>
      <c r="O318" s="1475">
        <v>1.1147897677765473</v>
      </c>
    </row>
    <row r="319" spans="2:15">
      <c r="B319" s="1387">
        <v>42125</v>
      </c>
      <c r="C319" s="1388">
        <v>578.51599999999996</v>
      </c>
      <c r="D319" s="1388">
        <v>4276.6000000000004</v>
      </c>
      <c r="E319" s="1388">
        <v>1.0098532226245138</v>
      </c>
      <c r="F319" s="1388">
        <v>38.556166196443854</v>
      </c>
      <c r="K319" s="1472">
        <v>42376</v>
      </c>
      <c r="L319" s="1473" t="s">
        <v>2127</v>
      </c>
      <c r="M319" s="1474">
        <v>5.2531000000000001E-2</v>
      </c>
      <c r="N319" s="1475">
        <v>1.115375377989458</v>
      </c>
      <c r="O319" s="1475">
        <v>1.115375377989458</v>
      </c>
    </row>
    <row r="320" spans="2:15">
      <c r="B320" s="1387">
        <v>42156</v>
      </c>
      <c r="C320" s="1388">
        <v>582.40099999999995</v>
      </c>
      <c r="D320" s="1388">
        <v>4310.3900000000003</v>
      </c>
      <c r="E320" s="1388">
        <v>1.0106667572412273</v>
      </c>
      <c r="F320" s="1388">
        <v>38.967435461413736</v>
      </c>
      <c r="K320" s="1472">
        <v>42377</v>
      </c>
      <c r="L320" s="1473" t="s">
        <v>2127</v>
      </c>
      <c r="M320" s="1474">
        <v>5.2531000000000001E-2</v>
      </c>
      <c r="N320" s="1475">
        <v>1.1159612958292695</v>
      </c>
      <c r="O320" s="1475">
        <v>1.1159612958292695</v>
      </c>
    </row>
    <row r="321" spans="2:15">
      <c r="B321" s="1387">
        <v>42186</v>
      </c>
      <c r="C321" s="1388">
        <v>586.42600000000004</v>
      </c>
      <c r="D321" s="1388">
        <v>4337.1099999999997</v>
      </c>
      <c r="E321" s="1388">
        <v>1.0117819838421735</v>
      </c>
      <c r="F321" s="1388">
        <v>39.426549156391054</v>
      </c>
      <c r="K321" s="1472">
        <v>42378</v>
      </c>
      <c r="L321" s="1473"/>
      <c r="M321" s="1474">
        <v>0</v>
      </c>
      <c r="N321" s="1475">
        <v>1.1159612958292695</v>
      </c>
      <c r="O321" s="1475">
        <v>1.1159612958292695</v>
      </c>
    </row>
    <row r="322" spans="2:15">
      <c r="B322" s="1387">
        <v>42217</v>
      </c>
      <c r="C322" s="1388">
        <v>588.04200000000003</v>
      </c>
      <c r="D322" s="1388">
        <v>4346.6499999999996</v>
      </c>
      <c r="E322" s="1388">
        <v>1.0110896528780247</v>
      </c>
      <c r="F322" s="1388">
        <v>39.863775900713804</v>
      </c>
      <c r="K322" s="1472">
        <v>42379</v>
      </c>
      <c r="L322" s="1473"/>
      <c r="M322" s="1474">
        <v>0</v>
      </c>
      <c r="N322" s="1475">
        <v>1.1159612958292695</v>
      </c>
      <c r="O322" s="1475">
        <v>1.1159612958292695</v>
      </c>
    </row>
    <row r="323" spans="2:15">
      <c r="B323" s="1387">
        <v>42248</v>
      </c>
      <c r="C323" s="1388">
        <v>593.60599999999999</v>
      </c>
      <c r="D323" s="1388">
        <v>4370.12</v>
      </c>
      <c r="E323" s="1388">
        <v>1.0110896528780244</v>
      </c>
      <c r="F323" s="1388">
        <v>40.305851337860076</v>
      </c>
      <c r="K323" s="1472">
        <v>42380</v>
      </c>
      <c r="L323" s="1473" t="s">
        <v>2127</v>
      </c>
      <c r="M323" s="1474">
        <v>5.2531000000000001E-2</v>
      </c>
      <c r="N323" s="1475">
        <v>1.1165475214575815</v>
      </c>
      <c r="O323" s="1475">
        <v>1.1165475214575815</v>
      </c>
    </row>
    <row r="324" spans="2:15">
      <c r="B324" s="1387">
        <v>42278</v>
      </c>
      <c r="C324" s="1388">
        <v>604.83199999999999</v>
      </c>
      <c r="D324" s="1388">
        <v>4405.95</v>
      </c>
      <c r="E324" s="1388">
        <v>1.0110896528780242</v>
      </c>
      <c r="F324" s="1388">
        <v>40.752829238150191</v>
      </c>
      <c r="K324" s="1472">
        <v>42381</v>
      </c>
      <c r="L324" s="1473" t="s">
        <v>2127</v>
      </c>
      <c r="M324" s="1474">
        <v>5.2531000000000001E-2</v>
      </c>
      <c r="N324" s="1475">
        <v>1.1171340550360784</v>
      </c>
      <c r="O324" s="1475">
        <v>1.1171340550360784</v>
      </c>
    </row>
    <row r="325" spans="2:15">
      <c r="B325" s="1387">
        <v>42309</v>
      </c>
      <c r="C325" s="1388">
        <v>614.05100000000004</v>
      </c>
      <c r="D325" s="1388">
        <v>4450.45</v>
      </c>
      <c r="E325" s="1388">
        <v>1.0105587962367735</v>
      </c>
      <c r="F325" s="1388">
        <v>41.183130058147846</v>
      </c>
      <c r="K325" s="1472">
        <v>42382</v>
      </c>
      <c r="L325" s="1473" t="s">
        <v>2127</v>
      </c>
      <c r="M325" s="1474">
        <v>5.2531000000000001E-2</v>
      </c>
      <c r="N325" s="1475">
        <v>1.1177208967265295</v>
      </c>
      <c r="O325" s="1475">
        <v>1.1177208967265295</v>
      </c>
    </row>
    <row r="326" spans="2:15">
      <c r="B326" s="1387">
        <v>42339</v>
      </c>
      <c r="C326" s="1388">
        <v>617.04399999999998</v>
      </c>
      <c r="D326" s="1388">
        <v>4493.17</v>
      </c>
      <c r="E326" s="1388">
        <v>1.0116207883835777</v>
      </c>
      <c r="F326" s="1388">
        <v>41.66171049752694</v>
      </c>
      <c r="K326" s="1472">
        <v>42383</v>
      </c>
      <c r="L326" s="1473" t="s">
        <v>2127</v>
      </c>
      <c r="M326" s="1474">
        <v>5.2531000000000001E-2</v>
      </c>
      <c r="N326" s="1475">
        <v>1.1183080466907889</v>
      </c>
      <c r="O326" s="1475">
        <v>1.1183080466907889</v>
      </c>
    </row>
    <row r="327" spans="2:15">
      <c r="B327" s="1387">
        <v>42370</v>
      </c>
      <c r="C327" s="1388">
        <v>624.05999999999995</v>
      </c>
      <c r="D327" s="1388">
        <v>4550.2299999999996</v>
      </c>
      <c r="E327" s="1388">
        <v>1.0105587962367735</v>
      </c>
      <c r="F327" s="1388">
        <v>42.101608009545771</v>
      </c>
      <c r="K327" s="1472">
        <v>42384</v>
      </c>
      <c r="L327" s="1473" t="s">
        <v>2127</v>
      </c>
      <c r="M327" s="1474">
        <v>5.2531000000000001E-2</v>
      </c>
      <c r="N327" s="1475">
        <v>1.118895505090796</v>
      </c>
      <c r="O327" s="1475">
        <v>1.118895505090796</v>
      </c>
    </row>
    <row r="328" spans="2:15">
      <c r="B328" s="1387">
        <v>42401</v>
      </c>
      <c r="C328" s="1388">
        <v>632.11400000000003</v>
      </c>
      <c r="D328" s="1388">
        <v>4591.18</v>
      </c>
      <c r="E328" s="1388">
        <v>1.0100282183134115</v>
      </c>
      <c r="F328" s="1388">
        <v>42.523812126011173</v>
      </c>
      <c r="K328" s="1472">
        <v>42385</v>
      </c>
      <c r="L328" s="1473"/>
      <c r="M328" s="1474">
        <v>0</v>
      </c>
      <c r="N328" s="1475">
        <v>1.118895505090796</v>
      </c>
      <c r="O328" s="1475">
        <v>1.118895505090796</v>
      </c>
    </row>
    <row r="329" spans="2:15">
      <c r="B329" s="1387">
        <v>42430</v>
      </c>
      <c r="C329" s="1388">
        <v>635.34900000000005</v>
      </c>
      <c r="D329" s="1388">
        <v>4610.92</v>
      </c>
      <c r="E329" s="1388">
        <v>1.0116207883835779</v>
      </c>
      <c r="F329" s="1388">
        <v>43.017972347990572</v>
      </c>
      <c r="K329" s="1472">
        <v>42386</v>
      </c>
      <c r="L329" s="1473"/>
      <c r="M329" s="1474">
        <v>0</v>
      </c>
      <c r="N329" s="1475">
        <v>1.118895505090796</v>
      </c>
      <c r="O329" s="1475">
        <v>1.118895505090796</v>
      </c>
    </row>
    <row r="330" spans="2:15">
      <c r="B330" s="1387">
        <v>42461</v>
      </c>
      <c r="C330" s="1388">
        <v>637.43399999999997</v>
      </c>
      <c r="D330" s="1388">
        <v>4639.05</v>
      </c>
      <c r="E330" s="1388">
        <v>1.0105587962367735</v>
      </c>
      <c r="F330" s="1388">
        <v>43.472190352532159</v>
      </c>
      <c r="K330" s="1472">
        <v>42387</v>
      </c>
      <c r="L330" s="1473" t="s">
        <v>2127</v>
      </c>
      <c r="M330" s="1474">
        <v>5.2531000000000001E-2</v>
      </c>
      <c r="N330" s="1475">
        <v>1.1194832720885752</v>
      </c>
      <c r="O330" s="1475">
        <v>1.1194832720885752</v>
      </c>
    </row>
    <row r="331" spans="2:15">
      <c r="B331" s="1387">
        <v>42491</v>
      </c>
      <c r="C331" s="1388">
        <v>642.65099999999995</v>
      </c>
      <c r="D331" s="1388">
        <v>4675.2299999999996</v>
      </c>
      <c r="E331" s="1388">
        <v>1.0110896528780244</v>
      </c>
      <c r="F331" s="1388">
        <v>43.954281853389141</v>
      </c>
      <c r="K331" s="1472">
        <v>42388</v>
      </c>
      <c r="L331" s="1473" t="s">
        <v>2127</v>
      </c>
      <c r="M331" s="1474">
        <v>5.2531000000000001E-2</v>
      </c>
      <c r="N331" s="1475">
        <v>1.1200713478462361</v>
      </c>
      <c r="O331" s="1475">
        <v>1.1200713478462361</v>
      </c>
    </row>
    <row r="332" spans="2:15">
      <c r="B332" s="1387">
        <v>42522</v>
      </c>
      <c r="C332" s="1388">
        <v>653.49599999999998</v>
      </c>
      <c r="D332" s="1388">
        <v>4691.59</v>
      </c>
      <c r="E332" s="1388">
        <v>1.0116207883835777</v>
      </c>
      <c r="F332" s="1388">
        <v>44.465065261359506</v>
      </c>
      <c r="K332" s="1472">
        <v>42389</v>
      </c>
      <c r="L332" s="1473" t="s">
        <v>2127</v>
      </c>
      <c r="M332" s="1474">
        <v>5.2531000000000001E-2</v>
      </c>
      <c r="N332" s="1475">
        <v>1.1206597325259733</v>
      </c>
      <c r="O332" s="1475">
        <v>1.1206597325259733</v>
      </c>
    </row>
    <row r="333" spans="2:15">
      <c r="B333" s="1387">
        <v>42552</v>
      </c>
      <c r="C333" s="1388">
        <v>654.64099999999996</v>
      </c>
      <c r="D333" s="1388">
        <v>4715.99</v>
      </c>
      <c r="E333" s="1388">
        <v>1.0110896528780242</v>
      </c>
      <c r="F333" s="1388">
        <v>44.958167400306678</v>
      </c>
      <c r="K333" s="1472">
        <v>42390</v>
      </c>
      <c r="L333" s="1473" t="s">
        <v>2127</v>
      </c>
      <c r="M333" s="1474">
        <v>5.2531000000000001E-2</v>
      </c>
      <c r="N333" s="1475">
        <v>1.1212484262900666</v>
      </c>
      <c r="O333" s="1475">
        <v>1.1212484262900666</v>
      </c>
    </row>
    <row r="334" spans="2:15">
      <c r="B334" s="1387">
        <v>42583</v>
      </c>
      <c r="C334" s="1388">
        <v>655.60199999999998</v>
      </c>
      <c r="D334" s="1388">
        <v>4736.74</v>
      </c>
      <c r="E334" s="1388">
        <v>1.0121522028999232</v>
      </c>
      <c r="F334" s="1388">
        <v>45.504508172563916</v>
      </c>
      <c r="K334" s="1472">
        <v>42391</v>
      </c>
      <c r="L334" s="1473" t="s">
        <v>2127</v>
      </c>
      <c r="M334" s="1474">
        <v>5.2531000000000001E-2</v>
      </c>
      <c r="N334" s="1475">
        <v>1.121837429300881</v>
      </c>
      <c r="O334" s="1475">
        <v>1.121837429300881</v>
      </c>
    </row>
    <row r="335" spans="2:15">
      <c r="B335" s="1387">
        <v>42614</v>
      </c>
      <c r="C335" s="1388">
        <v>656.89400000000001</v>
      </c>
      <c r="D335" s="1388">
        <v>4740.53</v>
      </c>
      <c r="E335" s="1388">
        <v>1.0110896528780247</v>
      </c>
      <c r="F335" s="1388">
        <v>46.009137372582884</v>
      </c>
      <c r="K335" s="1472">
        <v>42392</v>
      </c>
      <c r="L335" s="1473"/>
      <c r="M335" s="1474">
        <v>0</v>
      </c>
      <c r="N335" s="1475">
        <v>1.121837429300881</v>
      </c>
      <c r="O335" s="1475">
        <v>1.121837429300881</v>
      </c>
    </row>
    <row r="336" spans="2:15">
      <c r="B336" s="1387">
        <v>42644</v>
      </c>
      <c r="C336" s="1388">
        <v>657.92700000000002</v>
      </c>
      <c r="D336" s="1388">
        <v>4752.8599999999997</v>
      </c>
      <c r="E336" s="1388">
        <v>1.0104884196148551</v>
      </c>
      <c r="F336" s="1388">
        <v>46.491700511464046</v>
      </c>
      <c r="K336" s="1472">
        <v>42393</v>
      </c>
      <c r="L336" s="1473"/>
      <c r="M336" s="1474">
        <v>0</v>
      </c>
      <c r="N336" s="1475">
        <v>1.121837429300881</v>
      </c>
      <c r="O336" s="1475">
        <v>1.121837429300881</v>
      </c>
    </row>
    <row r="337" spans="2:15">
      <c r="B337" s="1387">
        <v>42675</v>
      </c>
      <c r="C337" s="1388">
        <v>657.75199999999995</v>
      </c>
      <c r="D337" s="1388">
        <v>4761.42</v>
      </c>
      <c r="E337" s="1388">
        <v>1.0103828638714687</v>
      </c>
      <c r="F337" s="1388">
        <v>46.974417509027667</v>
      </c>
      <c r="K337" s="1472">
        <v>42394</v>
      </c>
      <c r="L337" s="1473" t="s">
        <v>2127</v>
      </c>
      <c r="M337" s="1474">
        <v>5.2531000000000001E-2</v>
      </c>
      <c r="N337" s="1475">
        <v>1.1224267417208671</v>
      </c>
      <c r="O337" s="1475">
        <v>1.1224267417208671</v>
      </c>
    </row>
    <row r="338" spans="2:15">
      <c r="B338" s="1387">
        <v>42705</v>
      </c>
      <c r="C338" s="1388">
        <v>661.30399999999997</v>
      </c>
      <c r="D338" s="1388">
        <v>4775.7</v>
      </c>
      <c r="E338" s="1388">
        <v>1.0112331468569866</v>
      </c>
      <c r="F338" s="1388">
        <v>47.502088039427981</v>
      </c>
      <c r="K338" s="1472">
        <v>42395</v>
      </c>
      <c r="L338" s="1473" t="s">
        <v>2127</v>
      </c>
      <c r="M338" s="1474">
        <v>5.2531000000000001E-2</v>
      </c>
      <c r="N338" s="1475">
        <v>1.1230163637125605</v>
      </c>
      <c r="O338" s="1475">
        <v>1.1230163637125605</v>
      </c>
    </row>
    <row r="339" spans="2:15">
      <c r="B339" s="1387">
        <v>42736</v>
      </c>
      <c r="C339" s="1388">
        <v>665.54200000000003</v>
      </c>
      <c r="D339" s="1388">
        <v>4793.8500000000004</v>
      </c>
      <c r="E339" s="1388">
        <v>1.0108612048503447</v>
      </c>
      <c r="F339" s="1388">
        <v>48.018017948443315</v>
      </c>
      <c r="K339" s="1472">
        <v>42396</v>
      </c>
      <c r="L339" s="1473" t="s">
        <v>2127</v>
      </c>
      <c r="M339" s="1474">
        <v>5.2531000000000001E-2</v>
      </c>
      <c r="N339" s="1475">
        <v>1.1236062954385824</v>
      </c>
      <c r="O339" s="1475">
        <v>1.1236062954385824</v>
      </c>
    </row>
    <row r="340" spans="2:15">
      <c r="B340" s="1387">
        <v>42767</v>
      </c>
      <c r="C340" s="1388">
        <v>666.09900000000005</v>
      </c>
      <c r="D340" s="1388">
        <v>4809.67</v>
      </c>
      <c r="E340" s="1388">
        <v>1.0086508422083289</v>
      </c>
      <c r="F340" s="1388">
        <v>48.433414244872004</v>
      </c>
      <c r="K340" s="1472">
        <v>42397</v>
      </c>
      <c r="L340" s="1473" t="s">
        <v>2127</v>
      </c>
      <c r="M340" s="1474">
        <v>5.2531000000000001E-2</v>
      </c>
      <c r="N340" s="1475">
        <v>1.1241965370616391</v>
      </c>
      <c r="O340" s="1475">
        <v>1.1241965370616391</v>
      </c>
    </row>
    <row r="341" spans="2:15">
      <c r="B341" s="1387">
        <v>42795</v>
      </c>
      <c r="C341" s="1388">
        <v>666.197</v>
      </c>
      <c r="D341" s="1388">
        <v>4821.6899999999996</v>
      </c>
      <c r="E341" s="1388">
        <v>1.0105205646045978</v>
      </c>
      <c r="F341" s="1388">
        <v>48.94296110845643</v>
      </c>
      <c r="K341" s="1472">
        <v>42398</v>
      </c>
      <c r="L341" s="1473" t="s">
        <v>2127</v>
      </c>
      <c r="M341" s="1474">
        <v>5.2531000000000001E-2</v>
      </c>
      <c r="N341" s="1475">
        <v>1.124787088744523</v>
      </c>
      <c r="O341" s="1475">
        <v>1.124787088744523</v>
      </c>
    </row>
    <row r="342" spans="2:15">
      <c r="B342" s="1387">
        <v>42826</v>
      </c>
      <c r="C342" s="1388">
        <v>658.89800000000002</v>
      </c>
      <c r="D342" s="1388">
        <v>4828.4399999999996</v>
      </c>
      <c r="E342" s="1388">
        <v>1.0078658059100756</v>
      </c>
      <c r="F342" s="1388">
        <v>49.327936941199923</v>
      </c>
      <c r="K342" s="1472">
        <v>42399</v>
      </c>
      <c r="L342" s="1473"/>
      <c r="M342" s="1474">
        <v>0</v>
      </c>
      <c r="N342" s="1475">
        <v>1.124787088744523</v>
      </c>
      <c r="O342" s="1475">
        <v>1.124787088744523</v>
      </c>
    </row>
    <row r="343" spans="2:15">
      <c r="B343" s="1387">
        <v>42856</v>
      </c>
      <c r="C343" s="1388">
        <v>652.75800000000004</v>
      </c>
      <c r="D343" s="1388">
        <v>4843.41</v>
      </c>
      <c r="E343" s="1388">
        <v>1.0092713189779878</v>
      </c>
      <c r="F343" s="1388">
        <v>49.785271979107854</v>
      </c>
      <c r="K343" s="1472">
        <v>42400</v>
      </c>
      <c r="L343" s="1473"/>
      <c r="M343" s="1474">
        <v>0</v>
      </c>
      <c r="N343" s="1475">
        <v>1.124787088744523</v>
      </c>
      <c r="O343" s="1475">
        <v>1.124787088744523</v>
      </c>
    </row>
    <row r="344" spans="2:15">
      <c r="B344" s="1387">
        <v>42887</v>
      </c>
      <c r="C344" s="1388">
        <v>648.40899999999999</v>
      </c>
      <c r="D344" s="1388">
        <v>4832.2700000000004</v>
      </c>
      <c r="E344" s="1388">
        <v>1.0080886926571575</v>
      </c>
      <c r="F344" s="1388">
        <v>50.187969742999854</v>
      </c>
      <c r="K344" s="1472">
        <v>42401</v>
      </c>
      <c r="L344" s="1473" t="s">
        <v>2127</v>
      </c>
      <c r="M344" s="1474">
        <v>5.2531000000000001E-2</v>
      </c>
      <c r="N344" s="1475">
        <v>1.1253779506501114</v>
      </c>
      <c r="O344" s="1475">
        <v>1.1253779506501114</v>
      </c>
    </row>
    <row r="345" spans="2:15">
      <c r="B345" s="1387">
        <v>42917</v>
      </c>
      <c r="C345" s="1388">
        <v>643.76599999999996</v>
      </c>
      <c r="D345" s="1388">
        <v>4843.87</v>
      </c>
      <c r="E345" s="1388">
        <v>1.0079792299470567</v>
      </c>
      <c r="F345" s="1388">
        <v>50.588431094155176</v>
      </c>
      <c r="K345" s="1472">
        <v>42402</v>
      </c>
      <c r="L345" s="1473" t="s">
        <v>2127</v>
      </c>
      <c r="M345" s="1474">
        <v>5.2531000000000001E-2</v>
      </c>
      <c r="N345" s="1475">
        <v>1.1259691229413673</v>
      </c>
      <c r="O345" s="1475">
        <v>1.1259691229413673</v>
      </c>
    </row>
    <row r="346" spans="2:15">
      <c r="B346" s="1387">
        <v>42948</v>
      </c>
      <c r="C346" s="1388">
        <v>644.38300000000004</v>
      </c>
      <c r="D346" s="1388">
        <v>4853.07</v>
      </c>
      <c r="E346" s="1388">
        <v>1.0080228940119034</v>
      </c>
      <c r="F346" s="1388">
        <v>50.994296715052059</v>
      </c>
      <c r="K346" s="1472">
        <v>42403</v>
      </c>
      <c r="L346" s="1473" t="s">
        <v>2127</v>
      </c>
      <c r="M346" s="1474">
        <v>5.2531000000000001E-2</v>
      </c>
      <c r="N346" s="1475">
        <v>1.1265606057813395</v>
      </c>
      <c r="O346" s="1475">
        <v>1.1265606057813395</v>
      </c>
    </row>
    <row r="347" spans="2:15">
      <c r="B347" s="1387">
        <v>42979</v>
      </c>
      <c r="C347" s="1388">
        <v>647.4</v>
      </c>
      <c r="D347" s="1388">
        <v>4860.83</v>
      </c>
      <c r="E347" s="1388">
        <v>1.0063846003708505</v>
      </c>
      <c r="F347" s="1388">
        <v>51.319874920770239</v>
      </c>
      <c r="K347" s="1472">
        <v>42404</v>
      </c>
      <c r="L347" s="1473" t="s">
        <v>2127</v>
      </c>
      <c r="M347" s="1474">
        <v>5.2531000000000001E-2</v>
      </c>
      <c r="N347" s="1475">
        <v>1.1271523993331625</v>
      </c>
      <c r="O347" s="1475">
        <v>1.1271523993331625</v>
      </c>
    </row>
    <row r="348" spans="2:15">
      <c r="B348" s="1387">
        <v>43009</v>
      </c>
      <c r="C348" s="1388">
        <v>648.67200000000003</v>
      </c>
      <c r="D348" s="1388">
        <v>4881.25</v>
      </c>
      <c r="E348" s="1388">
        <v>1.0064393014601032</v>
      </c>
      <c r="F348" s="1388">
        <v>51.650339066279869</v>
      </c>
      <c r="K348" s="1472">
        <v>42405</v>
      </c>
      <c r="L348" s="1473" t="s">
        <v>2127</v>
      </c>
      <c r="M348" s="1474">
        <v>5.2531000000000001E-2</v>
      </c>
      <c r="N348" s="1475">
        <v>1.1277445037600562</v>
      </c>
      <c r="O348" s="1475">
        <v>1.1277445037600562</v>
      </c>
    </row>
    <row r="349" spans="2:15">
      <c r="B349" s="1387">
        <v>43040</v>
      </c>
      <c r="C349" s="1388">
        <v>652.07299999999998</v>
      </c>
      <c r="D349" s="1388">
        <v>4894.92</v>
      </c>
      <c r="E349" s="1388">
        <v>1.0056818783789492</v>
      </c>
      <c r="F349" s="1388">
        <v>51.943810011085958</v>
      </c>
      <c r="K349" s="1472">
        <v>42406</v>
      </c>
      <c r="L349" s="1473"/>
      <c r="M349" s="1474">
        <v>0</v>
      </c>
      <c r="N349" s="1475">
        <v>1.1277445037600562</v>
      </c>
      <c r="O349" s="1475">
        <v>1.1277445037600562</v>
      </c>
    </row>
    <row r="350" spans="2:15">
      <c r="B350" s="1387">
        <v>43070</v>
      </c>
      <c r="C350" s="1388">
        <v>657.85900000000004</v>
      </c>
      <c r="D350" s="1388">
        <v>4916.46</v>
      </c>
      <c r="E350" s="1388">
        <v>1.0053840004998948</v>
      </c>
      <c r="F350" s="1388">
        <v>52.223475510152085</v>
      </c>
      <c r="K350" s="1472">
        <v>42407</v>
      </c>
      <c r="L350" s="1473"/>
      <c r="M350" s="1474">
        <v>0</v>
      </c>
      <c r="N350" s="1475">
        <v>1.1277445037600562</v>
      </c>
      <c r="O350" s="1475">
        <v>1.1277445037600562</v>
      </c>
    </row>
    <row r="351" spans="2:15">
      <c r="B351" s="1387">
        <v>43101</v>
      </c>
      <c r="C351" s="1388">
        <v>662.82600000000002</v>
      </c>
      <c r="D351" s="1388">
        <v>4930.72</v>
      </c>
      <c r="E351" s="1388">
        <v>1.0058420473548675</v>
      </c>
      <c r="F351" s="1388">
        <v>52.528567527118156</v>
      </c>
      <c r="K351" s="1472">
        <v>42408</v>
      </c>
      <c r="L351" s="1473"/>
      <c r="M351" s="1474">
        <v>0</v>
      </c>
      <c r="N351" s="1475">
        <v>1.1277445037600562</v>
      </c>
      <c r="O351" s="1475">
        <v>1.1277445037600562</v>
      </c>
    </row>
    <row r="352" spans="2:15">
      <c r="B352" s="1387">
        <v>43132</v>
      </c>
      <c r="C352" s="1388">
        <v>663.31100000000004</v>
      </c>
      <c r="D352" s="1388">
        <v>4946.5</v>
      </c>
      <c r="E352" s="1388">
        <v>1.0046560161193037</v>
      </c>
      <c r="F352" s="1388">
        <v>52.773141384248348</v>
      </c>
      <c r="K352" s="1472">
        <v>42409</v>
      </c>
      <c r="L352" s="1473"/>
      <c r="M352" s="1474">
        <v>0</v>
      </c>
      <c r="N352" s="1475">
        <v>1.1277445037600562</v>
      </c>
      <c r="O352" s="1475">
        <v>1.1277445037600562</v>
      </c>
    </row>
    <row r="353" spans="2:15">
      <c r="B353" s="1387">
        <v>43160</v>
      </c>
      <c r="C353" s="1388">
        <v>667.524</v>
      </c>
      <c r="D353" s="1388">
        <v>4950.95</v>
      </c>
      <c r="E353" s="1388">
        <v>1.0053234480536677</v>
      </c>
      <c r="F353" s="1388">
        <v>53.054076461036253</v>
      </c>
      <c r="K353" s="1472">
        <v>42410</v>
      </c>
      <c r="L353" s="1473" t="s">
        <v>2127</v>
      </c>
      <c r="M353" s="1474">
        <v>5.2531000000000001E-2</v>
      </c>
      <c r="N353" s="1475">
        <v>1.1283369192253263</v>
      </c>
      <c r="O353" s="1475">
        <v>1.1283369192253263</v>
      </c>
    </row>
    <row r="354" spans="2:15">
      <c r="B354" s="1387">
        <v>43191</v>
      </c>
      <c r="C354" s="1388">
        <v>671.327</v>
      </c>
      <c r="D354" s="1388">
        <v>4961.84</v>
      </c>
      <c r="E354" s="1388">
        <v>1.0051829489023658</v>
      </c>
      <c r="F354" s="1388">
        <v>53.329053028396011</v>
      </c>
      <c r="K354" s="1472">
        <v>42411</v>
      </c>
      <c r="L354" s="1473" t="s">
        <v>2127</v>
      </c>
      <c r="M354" s="1474">
        <v>5.2531000000000001E-2</v>
      </c>
      <c r="N354" s="1475">
        <v>1.1289296458923646</v>
      </c>
      <c r="O354" s="1475">
        <v>1.1289296458923646</v>
      </c>
    </row>
    <row r="355" spans="2:15">
      <c r="B355" s="1387">
        <v>43221</v>
      </c>
      <c r="C355" s="1388">
        <v>680.57899999999995</v>
      </c>
      <c r="D355" s="1388">
        <v>4981.6899999999996</v>
      </c>
      <c r="E355" s="1388">
        <v>1.0051829489023656</v>
      </c>
      <c r="F355" s="1388">
        <v>53.605454785253734</v>
      </c>
      <c r="G355" s="490"/>
      <c r="K355" s="1472">
        <v>42412</v>
      </c>
      <c r="L355" s="1473" t="s">
        <v>2127</v>
      </c>
      <c r="M355" s="1474">
        <v>5.2531000000000001E-2</v>
      </c>
      <c r="N355" s="1475">
        <v>1.1295226839246482</v>
      </c>
      <c r="O355" s="1475">
        <v>1.1295226839246482</v>
      </c>
    </row>
    <row r="356" spans="2:15">
      <c r="B356" s="1387">
        <v>43252</v>
      </c>
      <c r="C356" s="1388">
        <v>693.28700000000003</v>
      </c>
      <c r="D356" s="1388">
        <v>5044.46</v>
      </c>
      <c r="E356" s="1388">
        <v>1.0051829489023654</v>
      </c>
      <c r="F356" s="1388">
        <v>53.88328911829376</v>
      </c>
      <c r="G356" s="10"/>
      <c r="I356" s="10"/>
      <c r="K356" s="1472">
        <v>42413</v>
      </c>
      <c r="L356" s="1473"/>
      <c r="M356" s="1474">
        <v>0</v>
      </c>
      <c r="N356" s="1475">
        <v>1.1295226839246482</v>
      </c>
      <c r="O356" s="1475">
        <v>1.1295226839246482</v>
      </c>
    </row>
    <row r="357" spans="2:15">
      <c r="B357" s="1387">
        <v>43282</v>
      </c>
      <c r="C357" s="1388">
        <v>696.8</v>
      </c>
      <c r="D357" s="1388">
        <v>5061.1099999999997</v>
      </c>
      <c r="E357" s="1388">
        <v>1.0054304249443857</v>
      </c>
      <c r="F357" s="1388">
        <v>54.175898275607288</v>
      </c>
      <c r="G357" s="10"/>
      <c r="K357" s="1472">
        <v>42414</v>
      </c>
      <c r="L357" s="1473"/>
      <c r="M357" s="1474">
        <v>0</v>
      </c>
      <c r="N357" s="1475">
        <v>1.1295226839246482</v>
      </c>
      <c r="O357" s="1475">
        <v>1.1295226839246482</v>
      </c>
    </row>
    <row r="358" spans="2:15">
      <c r="B358" s="1387">
        <v>43313</v>
      </c>
      <c r="C358" s="1388">
        <v>701.67700000000002</v>
      </c>
      <c r="D358" s="1388">
        <v>5056.5600000000004</v>
      </c>
      <c r="E358" s="1388">
        <v>1.0056779619150069</v>
      </c>
      <c r="F358" s="1388">
        <v>54.483506962727475</v>
      </c>
      <c r="K358" s="1472">
        <v>42415</v>
      </c>
      <c r="L358" s="1473" t="s">
        <v>2127</v>
      </c>
      <c r="M358" s="1474">
        <v>5.2531000000000001E-2</v>
      </c>
      <c r="N358" s="1475">
        <v>1.1301160334857405</v>
      </c>
      <c r="O358" s="1475">
        <v>1.1301160334857405</v>
      </c>
    </row>
    <row r="359" spans="2:15">
      <c r="B359" s="1387">
        <v>43344</v>
      </c>
      <c r="C359" s="1388">
        <v>712.37300000000005</v>
      </c>
      <c r="D359" s="1388">
        <v>5080.83</v>
      </c>
      <c r="E359" s="1388">
        <v>1.0046881795441467</v>
      </c>
      <c r="F359" s="1388">
        <v>54.738935425563504</v>
      </c>
      <c r="K359" s="1472">
        <v>42416</v>
      </c>
      <c r="L359" s="1473" t="s">
        <v>2127</v>
      </c>
      <c r="M359" s="1474">
        <v>5.2531000000000001E-2</v>
      </c>
      <c r="N359" s="1475">
        <v>1.1307096947392909</v>
      </c>
      <c r="O359" s="1475">
        <v>1.1307096947392909</v>
      </c>
    </row>
    <row r="360" spans="2:15">
      <c r="B360" s="1387">
        <v>43374</v>
      </c>
      <c r="C360" s="1388">
        <v>718.68399999999997</v>
      </c>
      <c r="D360" s="1388">
        <v>5103.6899999999996</v>
      </c>
      <c r="E360" s="1388">
        <v>1.0054304249443855</v>
      </c>
      <c r="F360" s="1388">
        <v>55.036191105927593</v>
      </c>
      <c r="K360" s="1472">
        <v>42417</v>
      </c>
      <c r="L360" s="1473" t="s">
        <v>2127</v>
      </c>
      <c r="M360" s="1474">
        <v>5.2531000000000001E-2</v>
      </c>
      <c r="N360" s="1475">
        <v>1.1313036678490345</v>
      </c>
      <c r="O360" s="1475">
        <v>1.1313036678490345</v>
      </c>
    </row>
    <row r="361" spans="2:15">
      <c r="B361" s="1387">
        <v>43405</v>
      </c>
      <c r="C361" s="1388">
        <v>715.16600000000005</v>
      </c>
      <c r="D361" s="1388">
        <v>5092.97</v>
      </c>
      <c r="E361" s="1388">
        <v>1.0049355337739507</v>
      </c>
      <c r="F361" s="1388">
        <v>55.307824085920508</v>
      </c>
      <c r="K361" s="1472">
        <v>42418</v>
      </c>
      <c r="L361" s="1473" t="s">
        <v>2127</v>
      </c>
      <c r="M361" s="1474">
        <v>5.2531000000000001E-2</v>
      </c>
      <c r="N361" s="1475">
        <v>1.1318979529787923</v>
      </c>
      <c r="O361" s="1475">
        <v>1.1318979529787923</v>
      </c>
    </row>
    <row r="362" spans="2:15">
      <c r="B362" s="1387">
        <v>43435</v>
      </c>
      <c r="C362" s="1388">
        <v>707.44100000000003</v>
      </c>
      <c r="D362" s="1388">
        <v>5100.6099999999997</v>
      </c>
      <c r="E362" s="1388">
        <v>1.0049355337739507</v>
      </c>
      <c r="F362" s="1388">
        <v>55.580797719660296</v>
      </c>
      <c r="K362" s="1472">
        <v>42419</v>
      </c>
      <c r="L362" s="1473" t="s">
        <v>2127</v>
      </c>
      <c r="M362" s="1474">
        <v>5.2531000000000001E-2</v>
      </c>
      <c r="N362" s="1475">
        <v>1.1324925502924716</v>
      </c>
      <c r="O362" s="1475">
        <v>1.1324925502924716</v>
      </c>
    </row>
    <row r="363" spans="2:15">
      <c r="B363" s="1387">
        <v>43466</v>
      </c>
      <c r="C363" s="1388">
        <v>707.48800000000006</v>
      </c>
      <c r="D363" s="1388">
        <v>5116.93</v>
      </c>
      <c r="E363" s="1388">
        <v>1.0054304249443855</v>
      </c>
      <c r="F363" s="1388">
        <v>55.882625070025988</v>
      </c>
      <c r="K363" s="1472">
        <v>42420</v>
      </c>
      <c r="L363" s="1473"/>
      <c r="M363" s="1474">
        <v>0</v>
      </c>
      <c r="N363" s="1475">
        <v>1.1324925502924716</v>
      </c>
      <c r="O363" s="1475">
        <v>1.1324925502924716</v>
      </c>
    </row>
    <row r="364" spans="2:15">
      <c r="B364" s="1387">
        <v>43497</v>
      </c>
      <c r="C364" s="1388">
        <v>713.74699999999996</v>
      </c>
      <c r="D364" s="1388">
        <v>5138.93</v>
      </c>
      <c r="E364" s="1388">
        <v>1.0049355337739507</v>
      </c>
      <c r="F364" s="1388">
        <v>56.158435653436129</v>
      </c>
      <c r="K364" s="1472">
        <v>42421</v>
      </c>
      <c r="L364" s="1473"/>
      <c r="M364" s="1474">
        <v>0</v>
      </c>
      <c r="N364" s="1475">
        <v>1.1324925502924716</v>
      </c>
      <c r="O364" s="1475">
        <v>1.1324925502924716</v>
      </c>
    </row>
    <row r="365" spans="2:15">
      <c r="B365" s="1387">
        <v>43525</v>
      </c>
      <c r="C365" s="1388">
        <v>722.70699999999999</v>
      </c>
      <c r="D365" s="1388">
        <v>5177.47</v>
      </c>
      <c r="E365" s="1388">
        <v>1.0046881795441467</v>
      </c>
      <c r="F365" s="1388">
        <v>56.421716482697846</v>
      </c>
      <c r="K365" s="1472">
        <v>42422</v>
      </c>
      <c r="L365" s="1473" t="s">
        <v>2127</v>
      </c>
      <c r="M365" s="1474">
        <v>5.2531000000000001E-2</v>
      </c>
      <c r="N365" s="1475">
        <v>1.1330874599540657</v>
      </c>
      <c r="O365" s="1475">
        <v>1.1330874599540657</v>
      </c>
    </row>
    <row r="366" spans="2:15">
      <c r="B366" s="1387">
        <v>43556</v>
      </c>
      <c r="C366" s="1388">
        <v>729.346</v>
      </c>
      <c r="D366" s="1388">
        <v>5206.9799999999996</v>
      </c>
      <c r="E366" s="1388">
        <v>1.0051829489023654</v>
      </c>
      <c r="F366" s="1388">
        <v>56.714147356211413</v>
      </c>
      <c r="K366" s="1472">
        <v>42423</v>
      </c>
      <c r="L366" s="1473" t="s">
        <v>2127</v>
      </c>
      <c r="M366" s="1474">
        <v>5.2531000000000001E-2</v>
      </c>
      <c r="N366" s="1475">
        <v>1.1336826821276542</v>
      </c>
      <c r="O366" s="1475">
        <v>1.1336826821276542</v>
      </c>
    </row>
    <row r="367" spans="2:15">
      <c r="B367" s="1387">
        <v>43586</v>
      </c>
      <c r="C367" s="1388">
        <v>732.59500000000003</v>
      </c>
      <c r="D367" s="1388">
        <v>5213.75</v>
      </c>
      <c r="E367" s="1388">
        <v>1.0054304249443855</v>
      </c>
      <c r="F367" s="1388">
        <v>57.022129276714139</v>
      </c>
      <c r="K367" s="1472">
        <v>42424</v>
      </c>
      <c r="L367" s="1473" t="s">
        <v>2127</v>
      </c>
      <c r="M367" s="1474">
        <v>5.2531000000000001E-2</v>
      </c>
      <c r="N367" s="1475">
        <v>1.1342782169774026</v>
      </c>
      <c r="O367" s="1475">
        <v>1.1342782169774026</v>
      </c>
    </row>
    <row r="368" spans="2:15">
      <c r="B368" s="1387">
        <v>43617</v>
      </c>
      <c r="C368" s="1388">
        <v>738.42100000000005</v>
      </c>
      <c r="D368" s="1388">
        <v>5214.2700000000004</v>
      </c>
      <c r="E368" s="1388">
        <v>1.0046881795441465</v>
      </c>
      <c r="F368" s="1388">
        <v>57.289459256752906</v>
      </c>
      <c r="K368" s="1472">
        <v>42425</v>
      </c>
      <c r="L368" s="1473" t="s">
        <v>2127</v>
      </c>
      <c r="M368" s="1474">
        <v>5.2531000000000001E-2</v>
      </c>
      <c r="N368" s="1475">
        <v>1.134874064667563</v>
      </c>
      <c r="O368" s="1475">
        <v>1.134874064667563</v>
      </c>
    </row>
    <row r="369" spans="2:15">
      <c r="B369" s="1387">
        <v>43647</v>
      </c>
      <c r="C369" s="1388">
        <v>741.346</v>
      </c>
      <c r="D369" s="1388">
        <v>5224.18</v>
      </c>
      <c r="E369" s="1388">
        <v>1.0056779619150069</v>
      </c>
      <c r="F369" s="1388">
        <v>57.61474662454409</v>
      </c>
      <c r="K369" s="1472">
        <v>42426</v>
      </c>
      <c r="L369" s="1473" t="s">
        <v>2127</v>
      </c>
      <c r="M369" s="1474">
        <v>5.2531000000000001E-2</v>
      </c>
      <c r="N369" s="1475">
        <v>1.1354702253624736</v>
      </c>
      <c r="O369" s="1475">
        <v>1.1354702253624736</v>
      </c>
    </row>
    <row r="370" spans="2:15">
      <c r="B370" s="1387">
        <v>43678</v>
      </c>
      <c r="C370" s="1388">
        <v>736.40200000000004</v>
      </c>
      <c r="D370" s="1388">
        <v>5229.93</v>
      </c>
      <c r="E370" s="1388">
        <v>1.0050171948996307</v>
      </c>
      <c r="F370" s="1388">
        <v>57.903811037452265</v>
      </c>
      <c r="K370" s="1472">
        <v>42427</v>
      </c>
      <c r="L370" s="1473"/>
      <c r="M370" s="1474">
        <v>0</v>
      </c>
      <c r="N370" s="1475">
        <v>1.1354702253624736</v>
      </c>
      <c r="O370" s="1475">
        <v>1.1354702253624736</v>
      </c>
    </row>
    <row r="371" spans="2:15">
      <c r="B371" s="1387">
        <v>43709</v>
      </c>
      <c r="C371" s="1388">
        <v>736.36199999999997</v>
      </c>
      <c r="D371" s="1388">
        <v>5227.84</v>
      </c>
      <c r="E371" s="1388">
        <v>1.0046375999081099</v>
      </c>
      <c r="F371" s="1388">
        <v>58.172345746198765</v>
      </c>
      <c r="K371" s="1472">
        <v>42428</v>
      </c>
      <c r="L371" s="1473"/>
      <c r="M371" s="1474">
        <v>0</v>
      </c>
      <c r="N371" s="1475">
        <v>1.1354702253624736</v>
      </c>
      <c r="O371" s="1475">
        <v>1.1354702253624736</v>
      </c>
    </row>
    <row r="372" spans="2:15">
      <c r="B372" s="1387">
        <v>43739</v>
      </c>
      <c r="C372" s="1388">
        <v>741.33299999999997</v>
      </c>
      <c r="D372" s="1388">
        <v>5233.07</v>
      </c>
      <c r="E372" s="1388">
        <v>1.0047926409835022</v>
      </c>
      <c r="F372" s="1388">
        <v>58.451144914528456</v>
      </c>
      <c r="K372" s="1472">
        <v>42429</v>
      </c>
      <c r="L372" s="1473" t="s">
        <v>2127</v>
      </c>
      <c r="M372" s="1474">
        <v>5.2531000000000001E-2</v>
      </c>
      <c r="N372" s="1475">
        <v>1.1360666992265587</v>
      </c>
      <c r="O372" s="1475">
        <v>1.1360666992265587</v>
      </c>
    </row>
    <row r="373" spans="2:15">
      <c r="B373" s="1387">
        <v>43770</v>
      </c>
      <c r="C373" s="1388">
        <v>743.55799999999999</v>
      </c>
      <c r="D373" s="1388">
        <v>5259.76</v>
      </c>
      <c r="E373" s="1388">
        <v>1.0038038559813272</v>
      </c>
      <c r="F373" s="1388">
        <v>58.673484651727009</v>
      </c>
      <c r="K373" s="1472">
        <v>42430</v>
      </c>
      <c r="L373" s="1473" t="s">
        <v>2127</v>
      </c>
      <c r="M373" s="1474">
        <v>5.2531000000000001E-2</v>
      </c>
      <c r="N373" s="1475">
        <v>1.1366634864243295</v>
      </c>
      <c r="O373" s="1475">
        <v>1.1366634864243295</v>
      </c>
    </row>
    <row r="374" spans="2:15">
      <c r="B374" s="1387">
        <v>43800</v>
      </c>
      <c r="C374" s="1388">
        <v>759.11199999999997</v>
      </c>
      <c r="D374" s="1388">
        <v>5320.25</v>
      </c>
      <c r="E374" s="1388">
        <v>1.0037470387078873</v>
      </c>
      <c r="F374" s="1388">
        <v>58.893336469843661</v>
      </c>
      <c r="K374" s="1472">
        <v>42431</v>
      </c>
      <c r="L374" s="1473" t="s">
        <v>2127</v>
      </c>
      <c r="M374" s="1474">
        <v>5.2531000000000001E-2</v>
      </c>
      <c r="N374" s="1475">
        <v>1.1372605871203831</v>
      </c>
      <c r="O374" s="1475">
        <v>1.1372605871203831</v>
      </c>
    </row>
    <row r="375" spans="2:15">
      <c r="B375" s="1387">
        <v>43831</v>
      </c>
      <c r="C375" s="1388">
        <v>762.73299999999995</v>
      </c>
      <c r="D375" s="1388">
        <v>5331.42</v>
      </c>
      <c r="E375" s="1388">
        <v>1.00376633367529</v>
      </c>
      <c r="F375" s="1388">
        <v>59.115148426240218</v>
      </c>
      <c r="K375" s="1472">
        <v>42432</v>
      </c>
      <c r="L375" s="1473" t="s">
        <v>2127</v>
      </c>
      <c r="M375" s="1474">
        <v>5.2531000000000001E-2</v>
      </c>
      <c r="N375" s="1475">
        <v>1.1378580014794033</v>
      </c>
      <c r="O375" s="1475">
        <v>1.1378580014794033</v>
      </c>
    </row>
    <row r="376" spans="2:15">
      <c r="B376" s="1387">
        <v>43862</v>
      </c>
      <c r="C376" s="1388">
        <v>762.423</v>
      </c>
      <c r="D376" s="1388">
        <v>5344.75</v>
      </c>
      <c r="E376" s="1388">
        <v>1.0029372863155552</v>
      </c>
      <c r="F376" s="1388">
        <v>59.288786542754629</v>
      </c>
      <c r="K376" s="1472">
        <v>42433</v>
      </c>
      <c r="L376" s="1473" t="s">
        <v>2127</v>
      </c>
      <c r="M376" s="1474">
        <v>5.2531000000000001E-2</v>
      </c>
      <c r="N376" s="1475">
        <v>1.1384557296661604</v>
      </c>
      <c r="O376" s="1475">
        <v>1.1384557296661604</v>
      </c>
    </row>
    <row r="377" spans="2:15">
      <c r="B377" s="1387">
        <v>43891</v>
      </c>
      <c r="C377" s="1388">
        <v>771.90800000000002</v>
      </c>
      <c r="D377" s="1388">
        <v>5348.49</v>
      </c>
      <c r="E377" s="1388">
        <v>1.0033836914846632</v>
      </c>
      <c r="F377" s="1388">
        <v>59.489401504915364</v>
      </c>
      <c r="K377" s="1472">
        <v>42434</v>
      </c>
      <c r="L377" s="1473"/>
      <c r="M377" s="1474">
        <v>0</v>
      </c>
      <c r="N377" s="1475">
        <v>1.1384557296661604</v>
      </c>
      <c r="O377" s="1475">
        <v>1.1384557296661604</v>
      </c>
    </row>
    <row r="378" spans="2:15">
      <c r="B378" s="1387">
        <v>43922</v>
      </c>
      <c r="C378" s="1388">
        <v>778.101</v>
      </c>
      <c r="D378" s="1388">
        <v>5331.91</v>
      </c>
      <c r="E378" s="1388">
        <v>1.0028492490278405</v>
      </c>
      <c r="F378" s="1388">
        <v>59.658901624320052</v>
      </c>
      <c r="K378" s="1472">
        <v>42435</v>
      </c>
      <c r="L378" s="1473"/>
      <c r="M378" s="1474">
        <v>0</v>
      </c>
      <c r="N378" s="1475">
        <v>1.1384557296661604</v>
      </c>
      <c r="O378" s="1475">
        <v>1.1384557296661604</v>
      </c>
    </row>
    <row r="379" spans="2:15">
      <c r="B379" s="1387">
        <v>43952</v>
      </c>
      <c r="C379" s="1388">
        <v>780.28</v>
      </c>
      <c r="D379" s="1388">
        <v>5311.65</v>
      </c>
      <c r="E379" s="1388">
        <v>1.0023580961930716</v>
      </c>
      <c r="F379" s="1388">
        <v>59.799583053123193</v>
      </c>
      <c r="K379" s="1472">
        <v>42436</v>
      </c>
      <c r="L379" s="1473" t="s">
        <v>2127</v>
      </c>
      <c r="M379" s="1474">
        <v>5.2531000000000001E-2</v>
      </c>
      <c r="N379" s="1475">
        <v>1.1390537718455114</v>
      </c>
      <c r="O379" s="1475">
        <v>1.1390537718455114</v>
      </c>
    </row>
    <row r="380" spans="2:15">
      <c r="B380" s="1387">
        <v>43983</v>
      </c>
      <c r="C380" s="1388">
        <v>792.42899999999997</v>
      </c>
      <c r="D380" s="1388">
        <v>5325.46</v>
      </c>
      <c r="E380" s="1388">
        <v>1.0021233217736718</v>
      </c>
      <c r="F380" s="1388">
        <v>59.926556809876388</v>
      </c>
      <c r="K380" s="1472">
        <v>42437</v>
      </c>
      <c r="L380" s="1473" t="s">
        <v>2127</v>
      </c>
      <c r="M380" s="1474">
        <v>5.2531000000000001E-2</v>
      </c>
      <c r="N380" s="1475">
        <v>1.1396521281823995</v>
      </c>
      <c r="O380" s="1475">
        <v>1.1396521281823995</v>
      </c>
    </row>
    <row r="381" spans="2:15">
      <c r="B381" s="1387">
        <v>44013</v>
      </c>
      <c r="C381" s="1388">
        <v>810.08299999999997</v>
      </c>
      <c r="D381" s="1388">
        <v>5344.63</v>
      </c>
      <c r="E381" s="1388">
        <v>1.0019434641302636</v>
      </c>
      <c r="F381" s="1388">
        <v>60.043021923486585</v>
      </c>
      <c r="K381" s="1472">
        <v>42438</v>
      </c>
      <c r="L381" s="1473" t="s">
        <v>2127</v>
      </c>
      <c r="M381" s="1474">
        <v>5.2531000000000001E-2</v>
      </c>
      <c r="N381" s="1475">
        <v>1.1402507988418549</v>
      </c>
      <c r="O381" s="1475">
        <v>1.1402507988418549</v>
      </c>
    </row>
    <row r="382" spans="2:15">
      <c r="B382" s="1387">
        <v>44044</v>
      </c>
      <c r="C382" s="1388">
        <v>832.31299999999999</v>
      </c>
      <c r="D382" s="1388">
        <v>5357.46</v>
      </c>
      <c r="E382" s="1388">
        <v>1.0015988959789295</v>
      </c>
      <c r="F382" s="1388">
        <v>60.13902446980282</v>
      </c>
      <c r="K382" s="1472">
        <v>42439</v>
      </c>
      <c r="L382" s="1473" t="s">
        <v>2127</v>
      </c>
      <c r="M382" s="1474">
        <v>5.2531000000000001E-2</v>
      </c>
      <c r="N382" s="1475">
        <v>1.1408497839889944</v>
      </c>
      <c r="O382" s="1475">
        <v>1.1408497839889944</v>
      </c>
    </row>
    <row r="383" spans="2:15">
      <c r="B383" s="1387">
        <v>44075</v>
      </c>
      <c r="C383" s="1388">
        <v>868.44200000000001</v>
      </c>
      <c r="D383" s="1388">
        <v>5391.75</v>
      </c>
      <c r="E383" s="1388">
        <v>1.0015696620595307</v>
      </c>
      <c r="F383" s="1388">
        <v>60.233422414810256</v>
      </c>
      <c r="K383" s="1472">
        <v>42440</v>
      </c>
      <c r="L383" s="1473" t="s">
        <v>2127</v>
      </c>
      <c r="M383" s="1474">
        <v>5.2531000000000001E-2</v>
      </c>
      <c r="N383" s="1475">
        <v>1.1414490837890217</v>
      </c>
      <c r="O383" s="1475">
        <v>1.1414490837890217</v>
      </c>
    </row>
    <row r="384" spans="2:15">
      <c r="B384" s="1387">
        <v>44105</v>
      </c>
      <c r="C384" s="1388">
        <v>896.505</v>
      </c>
      <c r="D384" s="1388">
        <v>5438.12</v>
      </c>
      <c r="E384" s="1388">
        <v>1.00156966205953</v>
      </c>
      <c r="F384" s="1388">
        <v>60.327968532690427</v>
      </c>
      <c r="K384" s="1472">
        <v>42441</v>
      </c>
      <c r="L384" s="1473"/>
      <c r="M384" s="1474">
        <v>0</v>
      </c>
      <c r="N384" s="1475">
        <v>1.1414490837890217</v>
      </c>
      <c r="O384" s="1475">
        <v>1.1414490837890217</v>
      </c>
    </row>
    <row r="385" spans="2:15">
      <c r="B385" s="1387">
        <v>44136</v>
      </c>
      <c r="C385" s="1388">
        <v>925.88699999999994</v>
      </c>
      <c r="D385" s="1388">
        <v>5486.52</v>
      </c>
      <c r="E385" s="1388">
        <v>1.0014948604084073</v>
      </c>
      <c r="F385" s="1388">
        <v>60.418150424369585</v>
      </c>
      <c r="K385" s="1472">
        <v>42442</v>
      </c>
      <c r="L385" s="1473"/>
      <c r="M385" s="1474">
        <v>0</v>
      </c>
      <c r="N385" s="1475">
        <v>1.1414490837890217</v>
      </c>
      <c r="O385" s="1475">
        <v>1.1414490837890217</v>
      </c>
    </row>
    <row r="386" spans="2:15">
      <c r="B386" s="1387">
        <v>44166</v>
      </c>
      <c r="C386" s="1388">
        <v>934.75800000000004</v>
      </c>
      <c r="D386" s="1388">
        <v>5560.59</v>
      </c>
      <c r="E386" s="1388">
        <v>1.0016444692975899</v>
      </c>
      <c r="F386" s="1388">
        <v>60.517506217759632</v>
      </c>
      <c r="K386" s="1472">
        <v>42443</v>
      </c>
      <c r="L386" s="1473" t="s">
        <v>2127</v>
      </c>
      <c r="M386" s="1474">
        <v>5.2531000000000001E-2</v>
      </c>
      <c r="N386" s="1475">
        <v>1.1420486984072269</v>
      </c>
      <c r="O386" s="1475">
        <v>1.1420486984072269</v>
      </c>
    </row>
    <row r="387" spans="2:15">
      <c r="B387" s="1387">
        <v>44197</v>
      </c>
      <c r="C387" s="1388">
        <v>958.84400000000005</v>
      </c>
      <c r="D387" s="1388">
        <v>5574.49</v>
      </c>
      <c r="E387" s="1388">
        <v>1.0014948604084077</v>
      </c>
      <c r="F387" s="1388">
        <v>60.607971441820126</v>
      </c>
      <c r="K387" s="1472">
        <v>42444</v>
      </c>
      <c r="L387" s="1473" t="s">
        <v>2127</v>
      </c>
      <c r="M387" s="1474">
        <v>5.2531000000000001E-2</v>
      </c>
      <c r="N387" s="1475">
        <v>1.1426486280089871</v>
      </c>
      <c r="O387" s="1475">
        <v>1.1426486280089871</v>
      </c>
    </row>
    <row r="388" spans="2:15">
      <c r="B388" s="1387">
        <v>44228</v>
      </c>
      <c r="C388" s="1388">
        <v>983.06299999999999</v>
      </c>
      <c r="D388" s="1388">
        <v>5622.43</v>
      </c>
      <c r="E388" s="1388">
        <v>1.0013452738652961</v>
      </c>
      <c r="F388" s="1388">
        <v>60.689505761829423</v>
      </c>
      <c r="K388" s="1472">
        <v>42445</v>
      </c>
      <c r="L388" s="1473" t="s">
        <v>2127</v>
      </c>
      <c r="M388" s="1474">
        <v>5.2531000000000001E-2</v>
      </c>
      <c r="N388" s="1475">
        <v>1.1432488727597665</v>
      </c>
      <c r="O388" s="1475">
        <v>1.1432488727597665</v>
      </c>
    </row>
    <row r="389" spans="2:15">
      <c r="B389" s="1387">
        <v>44256</v>
      </c>
      <c r="C389" s="1388">
        <v>1011.948</v>
      </c>
      <c r="D389" s="1388">
        <v>5674.72</v>
      </c>
      <c r="E389" s="1388">
        <v>1.0020107988327946</v>
      </c>
      <c r="F389" s="1388">
        <v>60.811540149178192</v>
      </c>
      <c r="K389" s="1472">
        <v>42446</v>
      </c>
      <c r="L389" s="1473" t="s">
        <v>2127</v>
      </c>
      <c r="M389" s="1474">
        <v>5.2531000000000001E-2</v>
      </c>
      <c r="N389" s="1475">
        <v>1.1438494328251159</v>
      </c>
      <c r="O389" s="1475">
        <v>1.1438494328251159</v>
      </c>
    </row>
    <row r="390" spans="2:15">
      <c r="B390" s="1387">
        <v>44287</v>
      </c>
      <c r="C390" s="1388">
        <v>1027.211</v>
      </c>
      <c r="D390" s="1388">
        <v>5692.31</v>
      </c>
      <c r="E390" s="1388">
        <v>1.0020778480243349</v>
      </c>
      <c r="F390" s="1388">
        <v>60.937897287733925</v>
      </c>
      <c r="K390" s="1472">
        <v>42447</v>
      </c>
      <c r="L390" s="1473" t="s">
        <v>2127</v>
      </c>
      <c r="M390" s="1474">
        <v>5.2531000000000001E-2</v>
      </c>
      <c r="N390" s="1475">
        <v>1.1444503083706732</v>
      </c>
      <c r="O390" s="1475">
        <v>1.1444503083706732</v>
      </c>
    </row>
    <row r="391" spans="2:15">
      <c r="B391" s="1387">
        <v>44317</v>
      </c>
      <c r="C391" s="1388">
        <v>1069.289</v>
      </c>
      <c r="D391" s="1388">
        <v>5739.56</v>
      </c>
      <c r="E391" s="1388">
        <v>1.0027032626398216</v>
      </c>
      <c r="F391" s="1388">
        <v>61.102628428821141</v>
      </c>
      <c r="K391" s="1472">
        <v>42448</v>
      </c>
      <c r="L391" s="1473"/>
      <c r="M391" s="1474">
        <v>0</v>
      </c>
      <c r="N391" s="1475">
        <v>1.1444503083706732</v>
      </c>
      <c r="O391" s="1475">
        <v>1.1444503083706732</v>
      </c>
    </row>
    <row r="392" spans="2:15">
      <c r="B392" s="1387">
        <v>44348</v>
      </c>
      <c r="C392" s="1388">
        <v>1075.7329999999999</v>
      </c>
      <c r="D392" s="1388">
        <v>5769.98</v>
      </c>
      <c r="E392" s="1388">
        <v>1.0030777896833167</v>
      </c>
      <c r="F392" s="1388">
        <v>61.290689468222901</v>
      </c>
      <c r="K392" s="1472">
        <v>42449</v>
      </c>
      <c r="L392" s="1473"/>
      <c r="M392" s="1474">
        <v>0</v>
      </c>
      <c r="N392" s="1475">
        <v>1.1444503083706732</v>
      </c>
      <c r="O392" s="1475">
        <v>1.1444503083706732</v>
      </c>
    </row>
    <row r="393" spans="2:15">
      <c r="B393" s="1387">
        <v>44378</v>
      </c>
      <c r="C393" s="1388">
        <v>1084.095</v>
      </c>
      <c r="D393" s="1388">
        <v>5825.37</v>
      </c>
      <c r="E393" s="1388">
        <v>1.003556161780192</v>
      </c>
      <c r="F393" s="1388">
        <v>61.508649075591414</v>
      </c>
      <c r="K393" s="1472">
        <v>42450</v>
      </c>
      <c r="L393" s="1473" t="s">
        <v>2127</v>
      </c>
      <c r="M393" s="1474">
        <v>5.2531000000000001E-2</v>
      </c>
      <c r="N393" s="1475">
        <v>1.1450514995621635</v>
      </c>
      <c r="O393" s="1475">
        <v>1.1450514995621635</v>
      </c>
    </row>
    <row r="394" spans="2:15">
      <c r="B394" s="1387">
        <v>44409</v>
      </c>
      <c r="C394" s="1388">
        <v>1091.29</v>
      </c>
      <c r="D394" s="1388">
        <v>5876.05</v>
      </c>
      <c r="E394" s="1388">
        <v>1.0042795247734253</v>
      </c>
      <c r="F394" s="1388">
        <v>61.771876863090334</v>
      </c>
      <c r="K394" s="1472">
        <v>42451</v>
      </c>
      <c r="L394" s="1473" t="s">
        <v>2127</v>
      </c>
      <c r="M394" s="1474">
        <v>5.2531000000000001E-2</v>
      </c>
      <c r="N394" s="1475">
        <v>1.1456530065653985</v>
      </c>
      <c r="O394" s="1475">
        <v>1.1456530065653985</v>
      </c>
    </row>
    <row r="395" spans="2:15">
      <c r="B395" s="1387">
        <v>44440</v>
      </c>
      <c r="C395" s="1388">
        <v>1084.3119999999999</v>
      </c>
      <c r="D395" s="1388">
        <v>5944.21</v>
      </c>
      <c r="E395" s="1388">
        <v>1.0044199933223523</v>
      </c>
      <c r="F395" s="1388">
        <v>62.044908146334365</v>
      </c>
      <c r="K395" s="1472">
        <v>42452</v>
      </c>
      <c r="L395" s="1473" t="s">
        <v>2127</v>
      </c>
      <c r="M395" s="1474">
        <v>5.2531000000000001E-2</v>
      </c>
      <c r="N395" s="1475">
        <v>1.1462548295462773</v>
      </c>
      <c r="O395" s="1475">
        <v>1.1462548295462773</v>
      </c>
    </row>
    <row r="396" spans="2:15">
      <c r="B396" s="1387">
        <v>44470</v>
      </c>
      <c r="C396" s="1388">
        <v>1091.2829999999999</v>
      </c>
      <c r="D396" s="1388">
        <v>6018.51</v>
      </c>
      <c r="E396" s="1388">
        <v>1.0048599610251685</v>
      </c>
      <c r="F396" s="1388">
        <v>62.34644398173571</v>
      </c>
      <c r="K396" s="1472">
        <v>42453</v>
      </c>
      <c r="L396" s="1473" t="s">
        <v>2127</v>
      </c>
      <c r="M396" s="1474">
        <v>5.2531000000000001E-2</v>
      </c>
      <c r="N396" s="1475">
        <v>1.1468569686707863</v>
      </c>
      <c r="O396" s="1475">
        <v>1.1468569686707863</v>
      </c>
    </row>
    <row r="397" spans="2:15">
      <c r="B397" s="1387">
        <v>44501</v>
      </c>
      <c r="C397" s="1388">
        <v>1091.4829999999999</v>
      </c>
      <c r="D397" s="1388">
        <v>6075.69</v>
      </c>
      <c r="E397" s="1388">
        <v>1.0058674909390046</v>
      </c>
      <c r="F397" s="1388">
        <v>62.712261176877703</v>
      </c>
      <c r="K397" s="1472">
        <v>42454</v>
      </c>
      <c r="L397" s="1473"/>
      <c r="M397" s="1474">
        <v>0</v>
      </c>
      <c r="N397" s="1475">
        <v>1.1468569686707863</v>
      </c>
      <c r="O397" s="1475">
        <v>1.1468569686707863</v>
      </c>
    </row>
    <row r="398" spans="2:15">
      <c r="B398" s="1387">
        <v>44531</v>
      </c>
      <c r="C398" s="1388">
        <v>1100.9880000000001</v>
      </c>
      <c r="D398" s="1388">
        <v>6120.04</v>
      </c>
      <c r="E398" s="1388">
        <v>1.0076908308186336</v>
      </c>
      <c r="F398" s="1388">
        <v>63.194570567843037</v>
      </c>
      <c r="K398" s="1472">
        <v>42455</v>
      </c>
      <c r="L398" s="1473"/>
      <c r="M398" s="1474">
        <v>0</v>
      </c>
      <c r="N398" s="1475">
        <v>1.1468569686707863</v>
      </c>
      <c r="O398" s="1475">
        <v>1.1468569686707863</v>
      </c>
    </row>
    <row r="399" spans="2:15">
      <c r="B399" s="1387">
        <v>44562</v>
      </c>
      <c r="C399" s="1388">
        <v>1120.999</v>
      </c>
      <c r="D399" s="1388">
        <v>6153.09</v>
      </c>
      <c r="E399" s="1388">
        <v>1.0073227032460901</v>
      </c>
      <c r="F399" s="1388">
        <v>63.65732565487545</v>
      </c>
      <c r="K399" s="1472">
        <v>42456</v>
      </c>
      <c r="L399" s="1473"/>
      <c r="M399" s="1474">
        <v>0</v>
      </c>
      <c r="N399" s="1475">
        <v>1.1468569686707863</v>
      </c>
      <c r="O399" s="1475">
        <v>1.1468569686707863</v>
      </c>
    </row>
    <row r="400" spans="2:15">
      <c r="B400" s="1387">
        <v>44593</v>
      </c>
      <c r="C400" s="1388">
        <v>1141.546</v>
      </c>
      <c r="D400" s="1388">
        <v>6215.24</v>
      </c>
      <c r="E400" s="1388">
        <v>1.0075504098703885</v>
      </c>
      <c r="F400" s="1388">
        <v>64.13796455482256</v>
      </c>
      <c r="K400" s="1472">
        <v>42457</v>
      </c>
      <c r="L400" s="1473" t="s">
        <v>2127</v>
      </c>
      <c r="M400" s="1474">
        <v>5.2531000000000001E-2</v>
      </c>
      <c r="N400" s="1475">
        <v>1.1474594241049989</v>
      </c>
      <c r="O400" s="1475">
        <v>1.1474594241049989</v>
      </c>
    </row>
    <row r="401" spans="2:15">
      <c r="B401" s="1387">
        <v>44621</v>
      </c>
      <c r="C401" s="1388">
        <v>1161.4179999999999</v>
      </c>
      <c r="D401" s="1388">
        <v>6315.93</v>
      </c>
      <c r="E401" s="1388">
        <v>1.0092705386289318</v>
      </c>
      <c r="F401" s="1388">
        <v>64.732558032809095</v>
      </c>
      <c r="K401" s="1472">
        <v>42458</v>
      </c>
      <c r="L401" s="1473" t="s">
        <v>2127</v>
      </c>
      <c r="M401" s="1474">
        <v>5.2531000000000001E-2</v>
      </c>
      <c r="N401" s="1475">
        <v>1.1480621960150754</v>
      </c>
      <c r="O401" s="1475">
        <v>1.1480621960150754</v>
      </c>
    </row>
    <row r="402" spans="2:15">
      <c r="B402" s="1387">
        <v>44652</v>
      </c>
      <c r="C402" s="1388">
        <v>1177.809</v>
      </c>
      <c r="D402" s="1388">
        <v>6382.88</v>
      </c>
      <c r="E402" s="1388">
        <v>1.0083432052372134</v>
      </c>
      <c r="F402" s="1388">
        <v>65.272635050006656</v>
      </c>
      <c r="K402" s="1472">
        <v>42459</v>
      </c>
      <c r="L402" s="1473" t="s">
        <v>2127</v>
      </c>
      <c r="M402" s="1474">
        <v>5.2531000000000001E-2</v>
      </c>
      <c r="N402" s="1475">
        <v>1.148665284567264</v>
      </c>
      <c r="O402" s="1475">
        <v>1.148665284567264</v>
      </c>
    </row>
    <row r="403" spans="2:15">
      <c r="B403" s="1387">
        <v>44682</v>
      </c>
      <c r="C403" s="1388">
        <v>1183.953</v>
      </c>
      <c r="D403" s="1388">
        <v>6412.88</v>
      </c>
      <c r="E403" s="1388">
        <v>1.0103459230153136</v>
      </c>
      <c r="F403" s="1388">
        <v>65.947940707240676</v>
      </c>
      <c r="K403" s="1472">
        <v>42460</v>
      </c>
      <c r="L403" s="1473" t="s">
        <v>2127</v>
      </c>
      <c r="M403" s="1474">
        <v>5.2531000000000001E-2</v>
      </c>
      <c r="N403" s="1475">
        <v>1.1492686899279001</v>
      </c>
      <c r="O403" s="1475">
        <v>1.1492686899279001</v>
      </c>
    </row>
    <row r="404" spans="2:15">
      <c r="B404" s="1387">
        <v>44713</v>
      </c>
      <c r="C404" s="1388">
        <v>1190.8820000000001</v>
      </c>
      <c r="D404" s="1388">
        <v>6455.85</v>
      </c>
      <c r="E404" s="1388">
        <v>1.0101531560893695</v>
      </c>
      <c r="F404" s="1388">
        <v>66.617520443013774</v>
      </c>
      <c r="K404" s="1472">
        <v>42461</v>
      </c>
      <c r="L404" s="1473" t="s">
        <v>2127</v>
      </c>
      <c r="M404" s="1474">
        <v>5.2531000000000001E-2</v>
      </c>
      <c r="N404" s="1475">
        <v>1.1498724122634061</v>
      </c>
      <c r="O404" s="1475">
        <v>1.1498724122634061</v>
      </c>
    </row>
    <row r="405" spans="2:15">
      <c r="B405" s="1387">
        <v>44743</v>
      </c>
      <c r="C405" s="1388">
        <v>1193.337</v>
      </c>
      <c r="D405" s="1388">
        <v>6411.95</v>
      </c>
      <c r="E405" s="1388">
        <v>1.0103484243492924</v>
      </c>
      <c r="F405" s="1388">
        <v>67.306906813655743</v>
      </c>
      <c r="K405" s="1472">
        <v>42462</v>
      </c>
      <c r="L405" s="1473"/>
      <c r="M405" s="1474">
        <v>0</v>
      </c>
      <c r="N405" s="1475">
        <v>1.1498724122634061</v>
      </c>
      <c r="O405" s="1475">
        <v>1.1498724122634061</v>
      </c>
    </row>
    <row r="406" spans="2:15">
      <c r="B406" s="1387">
        <v>44774</v>
      </c>
      <c r="C406" s="1388">
        <v>1185.0039999999999</v>
      </c>
      <c r="D406" s="1388">
        <v>6388.87</v>
      </c>
      <c r="E406" s="1388">
        <v>1.0116936128000631</v>
      </c>
      <c r="F406" s="1388">
        <v>68.093967720704555</v>
      </c>
      <c r="K406" s="1472">
        <v>42463</v>
      </c>
      <c r="L406" s="1473"/>
      <c r="M406" s="1474">
        <v>0</v>
      </c>
      <c r="N406" s="1475">
        <v>1.1498724122634061</v>
      </c>
      <c r="O406" s="1475">
        <v>1.1498724122634061</v>
      </c>
    </row>
    <row r="407" spans="2:15">
      <c r="B407" s="1387">
        <v>44805</v>
      </c>
      <c r="C407" s="1388">
        <v>1188.5886370999999</v>
      </c>
      <c r="D407" s="1388">
        <v>6404.6441200300005</v>
      </c>
      <c r="E407" s="1388">
        <v>1.010719822473549</v>
      </c>
      <c r="F407" s="1388">
        <v>68.823922966190082</v>
      </c>
      <c r="K407" s="1472">
        <v>42464</v>
      </c>
      <c r="L407" s="1473" t="s">
        <v>2127</v>
      </c>
      <c r="M407" s="1474">
        <v>5.2531000000000001E-2</v>
      </c>
      <c r="N407" s="1475">
        <v>1.1504764517402921</v>
      </c>
      <c r="O407" s="1475">
        <v>1.1504764517402921</v>
      </c>
    </row>
    <row r="408" spans="2:15">
      <c r="B408" s="1387">
        <v>44835</v>
      </c>
      <c r="C408" s="1388">
        <v>1195.4598680110751</v>
      </c>
      <c r="D408" s="1388">
        <v>6437.1220703626732</v>
      </c>
      <c r="E408" s="1388">
        <v>1.0102067586649579</v>
      </c>
      <c r="F408" s="1388">
        <v>69.526392138281636</v>
      </c>
      <c r="K408" s="1472">
        <v>42465</v>
      </c>
      <c r="L408" s="1473" t="s">
        <v>2127</v>
      </c>
      <c r="M408" s="1474">
        <v>5.2531000000000001E-2</v>
      </c>
      <c r="N408" s="1475">
        <v>1.1510808085251558</v>
      </c>
      <c r="O408" s="1475">
        <v>1.1510808085251558</v>
      </c>
    </row>
    <row r="409" spans="2:15">
      <c r="B409" s="1387">
        <v>44866</v>
      </c>
      <c r="C409" s="1388">
        <v>1202.90399660918</v>
      </c>
      <c r="D409" s="1388">
        <v>6470.2603747808998</v>
      </c>
      <c r="E409" s="1388">
        <v>1.0102067586649579</v>
      </c>
      <c r="F409" s="1388">
        <v>70.236031243682305</v>
      </c>
      <c r="K409" s="1472">
        <v>42466</v>
      </c>
      <c r="L409" s="1473" t="s">
        <v>2127</v>
      </c>
      <c r="M409" s="1474">
        <v>5.2531000000000001E-2</v>
      </c>
      <c r="N409" s="1475">
        <v>1.1516854827846821</v>
      </c>
      <c r="O409" s="1475">
        <v>1.1516854827846821</v>
      </c>
    </row>
    <row r="410" spans="2:15">
      <c r="B410" s="1387">
        <v>44896</v>
      </c>
      <c r="C410" s="1388">
        <v>1210.0636811969978</v>
      </c>
      <c r="D410" s="1388">
        <v>6518.3732309277702</v>
      </c>
      <c r="E410" s="1388">
        <v>1.0112331468569864</v>
      </c>
      <c r="F410" s="1388">
        <v>71.02500289729447</v>
      </c>
      <c r="K410" s="1472">
        <v>42467</v>
      </c>
      <c r="L410" s="1473" t="s">
        <v>2127</v>
      </c>
      <c r="M410" s="1474">
        <v>5.2531000000000001E-2</v>
      </c>
      <c r="N410" s="1475">
        <v>1.1522904746856437</v>
      </c>
      <c r="O410" s="1475">
        <v>1.1522904746856437</v>
      </c>
    </row>
    <row r="411" spans="2:15">
      <c r="B411" s="1387">
        <v>44927</v>
      </c>
      <c r="C411" s="1388">
        <v>1216.2204852069281</v>
      </c>
      <c r="D411" s="1388">
        <v>6562.8546098556208</v>
      </c>
      <c r="E411" s="1388">
        <v>1.0112331468569866</v>
      </c>
      <c r="F411" s="1388">
        <v>71.822837185357685</v>
      </c>
      <c r="K411" s="1472">
        <v>42468</v>
      </c>
      <c r="L411" s="1473" t="s">
        <v>2127</v>
      </c>
      <c r="M411" s="1474">
        <v>5.2531000000000001E-2</v>
      </c>
      <c r="N411" s="1475">
        <v>1.1528957843949008</v>
      </c>
      <c r="O411" s="1475">
        <v>1.1528957843949008</v>
      </c>
    </row>
    <row r="412" spans="2:15">
      <c r="B412" s="1387">
        <v>44958</v>
      </c>
      <c r="C412" s="1388">
        <v>1221.2130702987026</v>
      </c>
      <c r="D412" s="1388">
        <v>6605.2243992168487</v>
      </c>
      <c r="E412" s="1388">
        <v>1.0091814122432907</v>
      </c>
      <c r="F412" s="1388">
        <v>72.482272262039203</v>
      </c>
      <c r="K412" s="1472">
        <v>42469</v>
      </c>
      <c r="L412" s="1473"/>
      <c r="M412" s="1474">
        <v>0</v>
      </c>
      <c r="N412" s="1475">
        <v>1.1528957843949008</v>
      </c>
      <c r="O412" s="1475">
        <v>1.1528957843949008</v>
      </c>
    </row>
    <row r="413" spans="2:15">
      <c r="B413" s="1387">
        <v>44986</v>
      </c>
      <c r="C413" s="1388">
        <v>1226.0405255655935</v>
      </c>
      <c r="D413" s="1388">
        <v>6636.5860046643302</v>
      </c>
      <c r="E413" s="1388">
        <v>1.0117467319476126</v>
      </c>
      <c r="F413" s="1388">
        <v>73.333702085255254</v>
      </c>
      <c r="K413" s="1472">
        <v>42470</v>
      </c>
      <c r="L413" s="1473"/>
      <c r="M413" s="1474">
        <v>0</v>
      </c>
      <c r="N413" s="1475">
        <v>1.1528957843949008</v>
      </c>
      <c r="O413" s="1475">
        <v>1.1528957843949008</v>
      </c>
    </row>
    <row r="414" spans="2:15">
      <c r="B414" s="1387">
        <v>45017</v>
      </c>
      <c r="C414" s="1388">
        <v>1230.1955769067354</v>
      </c>
      <c r="D414" s="1388">
        <v>6667.1143002857852</v>
      </c>
      <c r="E414" s="1388">
        <v>1.0091814122432907</v>
      </c>
      <c r="F414" s="1388">
        <v>74.007009035426648</v>
      </c>
      <c r="K414" s="1472">
        <v>42471</v>
      </c>
      <c r="L414" s="1473" t="s">
        <v>2127</v>
      </c>
      <c r="M414" s="1474">
        <v>5.2531000000000001E-2</v>
      </c>
      <c r="N414" s="1475">
        <v>1.1535014120794014</v>
      </c>
      <c r="O414" s="1475">
        <v>1.1535014120794014</v>
      </c>
    </row>
    <row r="415" spans="2:15">
      <c r="B415" s="1387">
        <v>45047</v>
      </c>
      <c r="C415" s="1388">
        <v>1233.7926687736106</v>
      </c>
      <c r="D415" s="1388">
        <v>6689.8024902496581</v>
      </c>
      <c r="E415" s="1388">
        <v>1.0112331468569866</v>
      </c>
      <c r="F415" s="1388">
        <v>74.838340636367931</v>
      </c>
      <c r="K415" s="1472">
        <v>42472</v>
      </c>
      <c r="L415" s="1473" t="s">
        <v>2127</v>
      </c>
      <c r="M415" s="1474">
        <v>5.2531000000000001E-2</v>
      </c>
      <c r="N415" s="1475">
        <v>1.1541073579061809</v>
      </c>
      <c r="O415" s="1475">
        <v>1.1541073579061809</v>
      </c>
    </row>
    <row r="416" spans="2:15">
      <c r="B416" s="1387">
        <v>45078</v>
      </c>
      <c r="C416" s="1388">
        <v>1238.0924362242865</v>
      </c>
      <c r="D416" s="1388">
        <v>6710.8887476989257</v>
      </c>
      <c r="E416" s="1388">
        <v>1.010719822473549</v>
      </c>
      <c r="F416" s="1388">
        <v>75.64059436220478</v>
      </c>
      <c r="K416" s="1472">
        <v>42473</v>
      </c>
      <c r="L416" s="1473" t="s">
        <v>2127</v>
      </c>
      <c r="M416" s="1474">
        <v>5.2531000000000001E-2</v>
      </c>
      <c r="N416" s="1475">
        <v>1.1547136220423626</v>
      </c>
      <c r="O416" s="1475">
        <v>1.1547136220423626</v>
      </c>
    </row>
    <row r="417" spans="2:15">
      <c r="B417" s="1387">
        <v>45108</v>
      </c>
      <c r="C417" s="1388">
        <v>1241.6878566590819</v>
      </c>
      <c r="D417" s="1388">
        <v>6731.658948373054</v>
      </c>
      <c r="E417" s="1388">
        <v>1.0107198224735483</v>
      </c>
      <c r="F417" s="1388">
        <v>76.451448105561298</v>
      </c>
      <c r="K417" s="1472">
        <v>42474</v>
      </c>
      <c r="L417" s="1473" t="s">
        <v>2127</v>
      </c>
      <c r="M417" s="1474">
        <v>5.2531000000000001E-2</v>
      </c>
      <c r="N417" s="1475">
        <v>1.1553202046551576</v>
      </c>
      <c r="O417" s="1475">
        <v>1.1553202046551576</v>
      </c>
    </row>
    <row r="418" spans="2:15">
      <c r="B418" s="1387">
        <v>45139</v>
      </c>
      <c r="C418" s="1388">
        <v>1245.6153153496946</v>
      </c>
      <c r="D418" s="1388">
        <v>6747.6399067164921</v>
      </c>
      <c r="E418" s="1388">
        <v>1.0117467319476126</v>
      </c>
      <c r="F418" s="1388">
        <v>77.349502773464138</v>
      </c>
      <c r="K418" s="1472">
        <v>42475</v>
      </c>
      <c r="L418" s="1473" t="s">
        <v>2127</v>
      </c>
      <c r="M418" s="1474">
        <v>5.2531000000000001E-2</v>
      </c>
      <c r="N418" s="1475">
        <v>1.155927105911865</v>
      </c>
      <c r="O418" s="1475">
        <v>1.155927105911865</v>
      </c>
    </row>
    <row r="419" spans="2:15">
      <c r="B419" s="1387">
        <v>45170</v>
      </c>
      <c r="C419" s="1388">
        <v>1251.1570578876854</v>
      </c>
      <c r="D419" s="1388">
        <v>6769.6169698926678</v>
      </c>
      <c r="E419" s="1388">
        <v>1.0102067586649579</v>
      </c>
      <c r="F419" s="1388">
        <v>78.138990481127379</v>
      </c>
      <c r="K419" s="1472">
        <v>42476</v>
      </c>
      <c r="L419" s="1473"/>
      <c r="M419" s="1474">
        <v>0</v>
      </c>
      <c r="N419" s="1475">
        <v>1.155927105911865</v>
      </c>
      <c r="O419" s="1475">
        <v>1.155927105911865</v>
      </c>
    </row>
    <row r="420" spans="2:15">
      <c r="B420" s="1387">
        <v>45200</v>
      </c>
      <c r="C420" s="1388">
        <v>1257.0750307714941</v>
      </c>
      <c r="D420" s="1388">
        <v>6796.3637265407142</v>
      </c>
      <c r="E420" s="1388">
        <v>1.0107198224735487</v>
      </c>
      <c r="F420" s="1388">
        <v>78.976626587347383</v>
      </c>
      <c r="K420" s="1472">
        <v>42477</v>
      </c>
      <c r="L420" s="1473"/>
      <c r="M420" s="1474">
        <v>0</v>
      </c>
      <c r="N420" s="1475">
        <v>1.155927105911865</v>
      </c>
      <c r="O420" s="1475">
        <v>1.155927105911865</v>
      </c>
    </row>
    <row r="421" spans="2:15">
      <c r="B421" s="1387">
        <v>45231</v>
      </c>
      <c r="C421" s="1388">
        <v>1262.6702717334581</v>
      </c>
      <c r="D421" s="1388">
        <v>6821.4830868740082</v>
      </c>
      <c r="E421" s="1388">
        <v>1.0102067586649577</v>
      </c>
      <c r="F421" s="1388">
        <v>79.782721955096918</v>
      </c>
      <c r="K421" s="1472">
        <v>42478</v>
      </c>
      <c r="L421" s="1473" t="s">
        <v>2127</v>
      </c>
      <c r="M421" s="1474">
        <v>5.2531000000000001E-2</v>
      </c>
      <c r="N421" s="1475">
        <v>1.1565343259798715</v>
      </c>
      <c r="O421" s="1475">
        <v>1.1565343259798715</v>
      </c>
    </row>
    <row r="422" spans="2:15">
      <c r="B422" s="1387">
        <v>45261</v>
      </c>
      <c r="C422" s="1388">
        <v>1268.1742514479442</v>
      </c>
      <c r="D422" s="1388">
        <v>6857.9166280410027</v>
      </c>
      <c r="E422" s="1388">
        <v>1.0102067586649579</v>
      </c>
      <c r="F422" s="1388">
        <v>80.597044943726033</v>
      </c>
      <c r="K422" s="1472">
        <v>42479</v>
      </c>
      <c r="L422" s="1473" t="s">
        <v>2127</v>
      </c>
      <c r="M422" s="1474">
        <v>5.2531000000000001E-2</v>
      </c>
      <c r="N422" s="1475">
        <v>1.1571418650266521</v>
      </c>
      <c r="O422" s="1475">
        <v>1.1571418650266521</v>
      </c>
    </row>
    <row r="423" spans="2:15">
      <c r="B423" s="1387">
        <v>45292</v>
      </c>
      <c r="C423" s="1388" t="e">
        <v>#N/A</v>
      </c>
      <c r="D423" s="1388" t="e">
        <v>#N/A</v>
      </c>
      <c r="E423" s="1388" t="e">
        <v>#N/A</v>
      </c>
      <c r="F423" s="1388" t="e">
        <f t="shared" ref="F423:F483" si="0">F422*E423</f>
        <v>#N/A</v>
      </c>
      <c r="K423" s="1472">
        <v>42480</v>
      </c>
      <c r="L423" s="1473" t="s">
        <v>2127</v>
      </c>
      <c r="M423" s="1474">
        <v>5.2531000000000001E-2</v>
      </c>
      <c r="N423" s="1475">
        <v>1.1577497232197693</v>
      </c>
      <c r="O423" s="1475">
        <v>1.1577497232197693</v>
      </c>
    </row>
    <row r="424" spans="2:15">
      <c r="B424" s="1387">
        <v>45323</v>
      </c>
      <c r="C424" s="1388" t="e">
        <v>#N/A</v>
      </c>
      <c r="D424" s="1388" t="e">
        <v>#N/A</v>
      </c>
      <c r="E424" s="1388" t="e">
        <v>#N/A</v>
      </c>
      <c r="F424" s="1388" t="e">
        <f t="shared" si="0"/>
        <v>#N/A</v>
      </c>
      <c r="K424" s="1472">
        <v>42481</v>
      </c>
      <c r="L424" s="1473"/>
      <c r="M424" s="1474">
        <v>0</v>
      </c>
      <c r="N424" s="1475">
        <v>1.1577497232197693</v>
      </c>
      <c r="O424" s="1475">
        <v>1.1577497232197693</v>
      </c>
    </row>
    <row r="425" spans="2:15">
      <c r="B425" s="1387">
        <v>45352</v>
      </c>
      <c r="C425" s="1388" t="e">
        <v>#N/A</v>
      </c>
      <c r="D425" s="1388" t="e">
        <v>#N/A</v>
      </c>
      <c r="E425" s="1388" t="e">
        <v>#N/A</v>
      </c>
      <c r="F425" s="1388" t="e">
        <f t="shared" si="0"/>
        <v>#N/A</v>
      </c>
      <c r="K425" s="1472">
        <v>42482</v>
      </c>
      <c r="L425" s="1473" t="s">
        <v>2127</v>
      </c>
      <c r="M425" s="1474">
        <v>5.2531000000000001E-2</v>
      </c>
      <c r="N425" s="1475">
        <v>1.1583579007268738</v>
      </c>
      <c r="O425" s="1475">
        <v>1.1583579007268738</v>
      </c>
    </row>
    <row r="426" spans="2:15">
      <c r="B426" s="1387">
        <v>45383</v>
      </c>
      <c r="C426" s="1388" t="e">
        <v>#N/A</v>
      </c>
      <c r="D426" s="1388" t="e">
        <v>#N/A</v>
      </c>
      <c r="E426" s="1388" t="e">
        <v>#N/A</v>
      </c>
      <c r="F426" s="1388" t="e">
        <f t="shared" si="0"/>
        <v>#N/A</v>
      </c>
      <c r="K426" s="1472">
        <v>42483</v>
      </c>
      <c r="L426" s="1473"/>
      <c r="M426" s="1474">
        <v>0</v>
      </c>
      <c r="N426" s="1475">
        <v>1.1583579007268738</v>
      </c>
      <c r="O426" s="1475">
        <v>1.1583579007268738</v>
      </c>
    </row>
    <row r="427" spans="2:15">
      <c r="B427" s="1387">
        <v>45413</v>
      </c>
      <c r="C427" s="1388" t="e">
        <v>#N/A</v>
      </c>
      <c r="D427" s="1388" t="e">
        <v>#N/A</v>
      </c>
      <c r="E427" s="1388" t="e">
        <v>#N/A</v>
      </c>
      <c r="F427" s="1388" t="e">
        <f t="shared" si="0"/>
        <v>#N/A</v>
      </c>
      <c r="K427" s="1472">
        <v>42484</v>
      </c>
      <c r="L427" s="1473"/>
      <c r="M427" s="1474">
        <v>0</v>
      </c>
      <c r="N427" s="1475">
        <v>1.1583579007268738</v>
      </c>
      <c r="O427" s="1475">
        <v>1.1583579007268738</v>
      </c>
    </row>
    <row r="428" spans="2:15">
      <c r="B428" s="1387">
        <v>45444</v>
      </c>
      <c r="C428" s="1388" t="e">
        <v>#N/A</v>
      </c>
      <c r="D428" s="1388" t="e">
        <v>#N/A</v>
      </c>
      <c r="E428" s="1388" t="e">
        <v>#N/A</v>
      </c>
      <c r="F428" s="1388" t="e">
        <f t="shared" si="0"/>
        <v>#N/A</v>
      </c>
      <c r="K428" s="1472">
        <v>42485</v>
      </c>
      <c r="L428" s="1473" t="s">
        <v>2127</v>
      </c>
      <c r="M428" s="1474">
        <v>5.2531000000000001E-2</v>
      </c>
      <c r="N428" s="1475">
        <v>1.1589663977157048</v>
      </c>
      <c r="O428" s="1475">
        <v>1.1589663977157048</v>
      </c>
    </row>
    <row r="429" spans="2:15">
      <c r="B429" s="1387">
        <v>45474</v>
      </c>
      <c r="C429" s="1388" t="e">
        <v>#N/A</v>
      </c>
      <c r="D429" s="1388" t="e">
        <v>#N/A</v>
      </c>
      <c r="E429" s="1388" t="e">
        <v>#N/A</v>
      </c>
      <c r="F429" s="1388" t="e">
        <f t="shared" si="0"/>
        <v>#N/A</v>
      </c>
      <c r="K429" s="1472">
        <v>42486</v>
      </c>
      <c r="L429" s="1473" t="s">
        <v>2127</v>
      </c>
      <c r="M429" s="1474">
        <v>5.2531000000000001E-2</v>
      </c>
      <c r="N429" s="1475">
        <v>1.1595752143540887</v>
      </c>
      <c r="O429" s="1475">
        <v>1.1595752143540887</v>
      </c>
    </row>
    <row r="430" spans="2:15">
      <c r="B430" s="1387">
        <v>45505</v>
      </c>
      <c r="C430" s="1388" t="e">
        <v>#N/A</v>
      </c>
      <c r="D430" s="1388" t="e">
        <v>#N/A</v>
      </c>
      <c r="E430" s="1388" t="e">
        <v>#N/A</v>
      </c>
      <c r="F430" s="1388" t="e">
        <f t="shared" si="0"/>
        <v>#N/A</v>
      </c>
      <c r="K430" s="1472">
        <v>42487</v>
      </c>
      <c r="L430" s="1473" t="s">
        <v>2127</v>
      </c>
      <c r="M430" s="1474">
        <v>5.2531000000000001E-2</v>
      </c>
      <c r="N430" s="1475">
        <v>1.160184350809941</v>
      </c>
      <c r="O430" s="1475">
        <v>1.160184350809941</v>
      </c>
    </row>
    <row r="431" spans="2:15">
      <c r="B431" s="1387">
        <v>45536</v>
      </c>
      <c r="C431" s="1388" t="e">
        <v>#N/A</v>
      </c>
      <c r="D431" s="1388" t="e">
        <v>#N/A</v>
      </c>
      <c r="E431" s="1388" t="e">
        <v>#N/A</v>
      </c>
      <c r="F431" s="1388" t="e">
        <f t="shared" si="0"/>
        <v>#N/A</v>
      </c>
      <c r="K431" s="1472">
        <v>42488</v>
      </c>
      <c r="L431" s="1473" t="s">
        <v>2127</v>
      </c>
      <c r="M431" s="1474">
        <v>5.2531000000000001E-2</v>
      </c>
      <c r="N431" s="1475">
        <v>1.1607938072512649</v>
      </c>
      <c r="O431" s="1475">
        <v>1.1607938072512649</v>
      </c>
    </row>
    <row r="432" spans="2:15">
      <c r="B432" s="1387">
        <v>45566</v>
      </c>
      <c r="C432" s="1388" t="e">
        <v>#N/A</v>
      </c>
      <c r="D432" s="1388" t="e">
        <v>#N/A</v>
      </c>
      <c r="E432" s="1388" t="e">
        <v>#N/A</v>
      </c>
      <c r="F432" s="1388" t="e">
        <f t="shared" si="0"/>
        <v>#N/A</v>
      </c>
      <c r="K432" s="1472">
        <v>42489</v>
      </c>
      <c r="L432" s="1473" t="s">
        <v>2127</v>
      </c>
      <c r="M432" s="1474">
        <v>5.2531000000000001E-2</v>
      </c>
      <c r="N432" s="1475">
        <v>1.1614035838461521</v>
      </c>
      <c r="O432" s="1475">
        <v>1.1614035838461521</v>
      </c>
    </row>
    <row r="433" spans="2:15">
      <c r="B433" s="1387">
        <v>45597</v>
      </c>
      <c r="C433" s="1388" t="e">
        <v>#N/A</v>
      </c>
      <c r="D433" s="1388" t="e">
        <v>#N/A</v>
      </c>
      <c r="E433" s="1388" t="e">
        <v>#N/A</v>
      </c>
      <c r="F433" s="1388" t="e">
        <f t="shared" si="0"/>
        <v>#N/A</v>
      </c>
      <c r="K433" s="1472">
        <v>42490</v>
      </c>
      <c r="L433" s="1473"/>
      <c r="M433" s="1474">
        <v>0</v>
      </c>
      <c r="N433" s="1475">
        <v>1.1614035838461521</v>
      </c>
      <c r="O433" s="1475">
        <v>1.1614035838461521</v>
      </c>
    </row>
    <row r="434" spans="2:15">
      <c r="B434" s="1387">
        <v>45627</v>
      </c>
      <c r="C434" s="1388" t="e">
        <v>#N/A</v>
      </c>
      <c r="D434" s="1388" t="e">
        <v>#N/A</v>
      </c>
      <c r="E434" s="1388" t="e">
        <v>#N/A</v>
      </c>
      <c r="F434" s="1388" t="e">
        <f t="shared" si="0"/>
        <v>#N/A</v>
      </c>
      <c r="K434" s="1472">
        <v>42491</v>
      </c>
      <c r="L434" s="1473"/>
      <c r="M434" s="1474">
        <v>0</v>
      </c>
      <c r="N434" s="1475">
        <v>1.1614035838461521</v>
      </c>
      <c r="O434" s="1475">
        <v>1.1614035838461521</v>
      </c>
    </row>
    <row r="435" spans="2:15">
      <c r="B435" s="1387">
        <v>45658</v>
      </c>
      <c r="C435" s="1388" t="e">
        <v>#N/A</v>
      </c>
      <c r="D435" s="1388" t="e">
        <v>#N/A</v>
      </c>
      <c r="E435" s="1388" t="e">
        <v>#N/A</v>
      </c>
      <c r="F435" s="1388" t="e">
        <f t="shared" si="0"/>
        <v>#N/A</v>
      </c>
      <c r="K435" s="1472">
        <v>42492</v>
      </c>
      <c r="L435" s="1473" t="s">
        <v>2127</v>
      </c>
      <c r="M435" s="1474">
        <v>5.2531000000000001E-2</v>
      </c>
      <c r="N435" s="1475">
        <v>1.1620136807627823</v>
      </c>
      <c r="O435" s="1475">
        <v>1.1620136807627823</v>
      </c>
    </row>
    <row r="436" spans="2:15">
      <c r="B436" s="1387">
        <v>45689</v>
      </c>
      <c r="C436" s="1388" t="e">
        <v>#N/A</v>
      </c>
      <c r="D436" s="1388" t="e">
        <v>#N/A</v>
      </c>
      <c r="E436" s="1388" t="e">
        <v>#N/A</v>
      </c>
      <c r="F436" s="1388" t="e">
        <f t="shared" si="0"/>
        <v>#N/A</v>
      </c>
      <c r="K436" s="1472">
        <v>42493</v>
      </c>
      <c r="L436" s="1473" t="s">
        <v>2127</v>
      </c>
      <c r="M436" s="1474">
        <v>5.2531000000000001E-2</v>
      </c>
      <c r="N436" s="1475">
        <v>1.1626240981694238</v>
      </c>
      <c r="O436" s="1475">
        <v>1.1626240981694238</v>
      </c>
    </row>
    <row r="437" spans="2:15">
      <c r="B437" s="1387">
        <v>45717</v>
      </c>
      <c r="C437" s="1388" t="e">
        <v>#N/A</v>
      </c>
      <c r="D437" s="1388" t="e">
        <v>#N/A</v>
      </c>
      <c r="E437" s="1388" t="e">
        <v>#N/A</v>
      </c>
      <c r="F437" s="1388" t="e">
        <f t="shared" si="0"/>
        <v>#N/A</v>
      </c>
      <c r="K437" s="1472">
        <v>42494</v>
      </c>
      <c r="L437" s="1473" t="s">
        <v>2127</v>
      </c>
      <c r="M437" s="1474">
        <v>5.2531000000000001E-2</v>
      </c>
      <c r="N437" s="1475">
        <v>1.1632348362344331</v>
      </c>
      <c r="O437" s="1475">
        <v>1.1632348362344331</v>
      </c>
    </row>
    <row r="438" spans="2:15">
      <c r="B438" s="1387">
        <v>45748</v>
      </c>
      <c r="C438" s="1388" t="e">
        <v>#N/A</v>
      </c>
      <c r="D438" s="1388" t="e">
        <v>#N/A</v>
      </c>
      <c r="E438" s="1388" t="e">
        <v>#N/A</v>
      </c>
      <c r="F438" s="1388" t="e">
        <f t="shared" si="0"/>
        <v>#N/A</v>
      </c>
      <c r="K438" s="1472">
        <v>42495</v>
      </c>
      <c r="L438" s="1473" t="s">
        <v>2127</v>
      </c>
      <c r="M438" s="1474">
        <v>5.2531000000000001E-2</v>
      </c>
      <c r="N438" s="1475">
        <v>1.1638458951262554</v>
      </c>
      <c r="O438" s="1475">
        <v>1.1638458951262554</v>
      </c>
    </row>
    <row r="439" spans="2:15">
      <c r="B439" s="1387">
        <v>45778</v>
      </c>
      <c r="C439" s="1388" t="e">
        <v>#N/A</v>
      </c>
      <c r="D439" s="1388" t="e">
        <v>#N/A</v>
      </c>
      <c r="E439" s="1388" t="e">
        <v>#N/A</v>
      </c>
      <c r="F439" s="1388" t="e">
        <f t="shared" si="0"/>
        <v>#N/A</v>
      </c>
      <c r="K439" s="1472">
        <v>42496</v>
      </c>
      <c r="L439" s="1473" t="s">
        <v>2127</v>
      </c>
      <c r="M439" s="1474">
        <v>5.2531000000000001E-2</v>
      </c>
      <c r="N439" s="1475">
        <v>1.1644572750134241</v>
      </c>
      <c r="O439" s="1475">
        <v>1.1644572750134241</v>
      </c>
    </row>
    <row r="440" spans="2:15">
      <c r="B440" s="1387">
        <v>45809</v>
      </c>
      <c r="C440" s="1388" t="e">
        <v>#N/A</v>
      </c>
      <c r="D440" s="1388" t="e">
        <v>#N/A</v>
      </c>
      <c r="E440" s="1388" t="e">
        <v>#N/A</v>
      </c>
      <c r="F440" s="1388" t="e">
        <f t="shared" si="0"/>
        <v>#N/A</v>
      </c>
      <c r="K440" s="1472">
        <v>42497</v>
      </c>
      <c r="L440" s="1473"/>
      <c r="M440" s="1474">
        <v>0</v>
      </c>
      <c r="N440" s="1475">
        <v>1.1644572750134241</v>
      </c>
      <c r="O440" s="1475">
        <v>1.1644572750134241</v>
      </c>
    </row>
    <row r="441" spans="2:15">
      <c r="B441" s="1387">
        <v>45839</v>
      </c>
      <c r="C441" s="1388" t="e">
        <v>#N/A</v>
      </c>
      <c r="D441" s="1388" t="e">
        <v>#N/A</v>
      </c>
      <c r="E441" s="1388" t="e">
        <v>#N/A</v>
      </c>
      <c r="F441" s="1388" t="e">
        <f t="shared" si="0"/>
        <v>#N/A</v>
      </c>
      <c r="K441" s="1472">
        <v>42498</v>
      </c>
      <c r="L441" s="1473"/>
      <c r="M441" s="1474">
        <v>0</v>
      </c>
      <c r="N441" s="1475">
        <v>1.1644572750134241</v>
      </c>
      <c r="O441" s="1475">
        <v>1.1644572750134241</v>
      </c>
    </row>
    <row r="442" spans="2:15">
      <c r="B442" s="1387">
        <v>45870</v>
      </c>
      <c r="C442" s="1388" t="e">
        <v>#N/A</v>
      </c>
      <c r="D442" s="1388" t="e">
        <v>#N/A</v>
      </c>
      <c r="E442" s="1388" t="e">
        <v>#N/A</v>
      </c>
      <c r="F442" s="1388" t="e">
        <f t="shared" si="0"/>
        <v>#N/A</v>
      </c>
      <c r="K442" s="1472">
        <v>42499</v>
      </c>
      <c r="L442" s="1473" t="s">
        <v>2127</v>
      </c>
      <c r="M442" s="1474">
        <v>5.2531000000000001E-2</v>
      </c>
      <c r="N442" s="1475">
        <v>1.1650689760645614</v>
      </c>
      <c r="O442" s="1475">
        <v>1.1650689760645614</v>
      </c>
    </row>
    <row r="443" spans="2:15">
      <c r="B443" s="1387">
        <v>45901</v>
      </c>
      <c r="C443" s="1388" t="e">
        <v>#N/A</v>
      </c>
      <c r="D443" s="1388" t="e">
        <v>#N/A</v>
      </c>
      <c r="E443" s="1388" t="e">
        <v>#N/A</v>
      </c>
      <c r="F443" s="1388" t="e">
        <f t="shared" si="0"/>
        <v>#N/A</v>
      </c>
      <c r="K443" s="1472">
        <v>42500</v>
      </c>
      <c r="L443" s="1473" t="s">
        <v>2127</v>
      </c>
      <c r="M443" s="1474">
        <v>5.2531000000000001E-2</v>
      </c>
      <c r="N443" s="1475">
        <v>1.1656809984483778</v>
      </c>
      <c r="O443" s="1475">
        <v>1.1656809984483778</v>
      </c>
    </row>
    <row r="444" spans="2:15">
      <c r="B444" s="1387">
        <v>45931</v>
      </c>
      <c r="C444" s="1388" t="e">
        <v>#N/A</v>
      </c>
      <c r="D444" s="1388" t="e">
        <v>#N/A</v>
      </c>
      <c r="E444" s="1388" t="e">
        <v>#N/A</v>
      </c>
      <c r="F444" s="1388" t="e">
        <f t="shared" si="0"/>
        <v>#N/A</v>
      </c>
      <c r="K444" s="1472">
        <v>42501</v>
      </c>
      <c r="L444" s="1473" t="s">
        <v>2127</v>
      </c>
      <c r="M444" s="1474">
        <v>5.2531000000000001E-2</v>
      </c>
      <c r="N444" s="1475">
        <v>1.1662933423336728</v>
      </c>
      <c r="O444" s="1475">
        <v>1.1662933423336728</v>
      </c>
    </row>
    <row r="445" spans="2:15">
      <c r="B445" s="1387">
        <v>45962</v>
      </c>
      <c r="C445" s="1388" t="e">
        <v>#N/A</v>
      </c>
      <c r="D445" s="1388" t="e">
        <v>#N/A</v>
      </c>
      <c r="E445" s="1388" t="e">
        <v>#N/A</v>
      </c>
      <c r="F445" s="1388" t="e">
        <f t="shared" si="0"/>
        <v>#N/A</v>
      </c>
      <c r="K445" s="1472">
        <v>42502</v>
      </c>
      <c r="L445" s="1473" t="s">
        <v>2127</v>
      </c>
      <c r="M445" s="1474">
        <v>5.2531000000000001E-2</v>
      </c>
      <c r="N445" s="1475">
        <v>1.1669060078893341</v>
      </c>
      <c r="O445" s="1475">
        <v>1.1669060078893341</v>
      </c>
    </row>
    <row r="446" spans="2:15">
      <c r="B446" s="1387">
        <v>45992</v>
      </c>
      <c r="C446" s="1388" t="e">
        <v>#N/A</v>
      </c>
      <c r="D446" s="1388" t="e">
        <v>#N/A</v>
      </c>
      <c r="E446" s="1388" t="e">
        <v>#N/A</v>
      </c>
      <c r="F446" s="1388" t="e">
        <f t="shared" si="0"/>
        <v>#N/A</v>
      </c>
      <c r="K446" s="1472">
        <v>42503</v>
      </c>
      <c r="L446" s="1473" t="s">
        <v>2127</v>
      </c>
      <c r="M446" s="1474">
        <v>5.2531000000000001E-2</v>
      </c>
      <c r="N446" s="1475">
        <v>1.1675189952843383</v>
      </c>
      <c r="O446" s="1475">
        <v>1.1675189952843383</v>
      </c>
    </row>
    <row r="447" spans="2:15">
      <c r="B447" s="1387">
        <v>46023</v>
      </c>
      <c r="C447" s="1388" t="e">
        <v>#N/A</v>
      </c>
      <c r="D447" s="1388" t="e">
        <v>#N/A</v>
      </c>
      <c r="E447" s="1388" t="e">
        <v>#N/A</v>
      </c>
      <c r="F447" s="1388" t="e">
        <f t="shared" si="0"/>
        <v>#N/A</v>
      </c>
      <c r="K447" s="1472">
        <v>42504</v>
      </c>
      <c r="L447" s="1473"/>
      <c r="M447" s="1474">
        <v>0</v>
      </c>
      <c r="N447" s="1475">
        <v>1.1675189952843383</v>
      </c>
      <c r="O447" s="1475">
        <v>1.1675189952843383</v>
      </c>
    </row>
    <row r="448" spans="2:15">
      <c r="B448" s="1387">
        <v>46054</v>
      </c>
      <c r="C448" s="1388" t="e">
        <v>#N/A</v>
      </c>
      <c r="D448" s="1388" t="e">
        <v>#N/A</v>
      </c>
      <c r="E448" s="1388" t="e">
        <v>#N/A</v>
      </c>
      <c r="F448" s="1388" t="e">
        <f t="shared" si="0"/>
        <v>#N/A</v>
      </c>
      <c r="K448" s="1472">
        <v>42505</v>
      </c>
      <c r="L448" s="1473"/>
      <c r="M448" s="1474">
        <v>0</v>
      </c>
      <c r="N448" s="1475">
        <v>1.1675189952843383</v>
      </c>
      <c r="O448" s="1475">
        <v>1.1675189952843383</v>
      </c>
    </row>
    <row r="449" spans="2:15">
      <c r="B449" s="1387">
        <v>46082</v>
      </c>
      <c r="C449" s="1388" t="e">
        <v>#N/A</v>
      </c>
      <c r="D449" s="1388" t="e">
        <v>#N/A</v>
      </c>
      <c r="E449" s="1388" t="e">
        <v>#N/A</v>
      </c>
      <c r="F449" s="1388" t="e">
        <f t="shared" si="0"/>
        <v>#N/A</v>
      </c>
      <c r="K449" s="1472">
        <v>42506</v>
      </c>
      <c r="L449" s="1473" t="s">
        <v>2127</v>
      </c>
      <c r="M449" s="1474">
        <v>5.2531000000000001E-2</v>
      </c>
      <c r="N449" s="1475">
        <v>1.1681323046877512</v>
      </c>
      <c r="O449" s="1475">
        <v>1.1681323046877512</v>
      </c>
    </row>
    <row r="450" spans="2:15">
      <c r="B450" s="1387">
        <v>46113</v>
      </c>
      <c r="C450" s="1388" t="e">
        <v>#N/A</v>
      </c>
      <c r="D450" s="1388" t="e">
        <v>#N/A</v>
      </c>
      <c r="E450" s="1388" t="e">
        <v>#N/A</v>
      </c>
      <c r="F450" s="1388" t="e">
        <f t="shared" si="0"/>
        <v>#N/A</v>
      </c>
      <c r="K450" s="1472">
        <v>42507</v>
      </c>
      <c r="L450" s="1473" t="s">
        <v>2127</v>
      </c>
      <c r="M450" s="1474">
        <v>5.2531000000000001E-2</v>
      </c>
      <c r="N450" s="1475">
        <v>1.1687459362687267</v>
      </c>
      <c r="O450" s="1475">
        <v>1.1687459362687267</v>
      </c>
    </row>
    <row r="451" spans="2:15">
      <c r="B451" s="1387">
        <v>46143</v>
      </c>
      <c r="C451" s="1388" t="e">
        <v>#N/A</v>
      </c>
      <c r="D451" s="1388" t="e">
        <v>#N/A</v>
      </c>
      <c r="E451" s="1388" t="e">
        <v>#N/A</v>
      </c>
      <c r="F451" s="1388" t="e">
        <f t="shared" si="0"/>
        <v>#N/A</v>
      </c>
      <c r="K451" s="1472">
        <v>42508</v>
      </c>
      <c r="L451" s="1473" t="s">
        <v>2127</v>
      </c>
      <c r="M451" s="1474">
        <v>5.2531000000000001E-2</v>
      </c>
      <c r="N451" s="1475">
        <v>1.1693598901965081</v>
      </c>
      <c r="O451" s="1475">
        <v>1.1693598901965081</v>
      </c>
    </row>
    <row r="452" spans="2:15">
      <c r="B452" s="1387">
        <v>46174</v>
      </c>
      <c r="C452" s="1388" t="e">
        <v>#N/A</v>
      </c>
      <c r="D452" s="1388" t="e">
        <v>#N/A</v>
      </c>
      <c r="E452" s="1388" t="e">
        <v>#N/A</v>
      </c>
      <c r="F452" s="1388" t="e">
        <f t="shared" si="0"/>
        <v>#N/A</v>
      </c>
      <c r="K452" s="1472">
        <v>42509</v>
      </c>
      <c r="L452" s="1473" t="s">
        <v>2127</v>
      </c>
      <c r="M452" s="1474">
        <v>5.2531000000000001E-2</v>
      </c>
      <c r="N452" s="1475">
        <v>1.1699741666404273</v>
      </c>
      <c r="O452" s="1475">
        <v>1.1699741666404273</v>
      </c>
    </row>
    <row r="453" spans="2:15">
      <c r="B453" s="1387">
        <v>46204</v>
      </c>
      <c r="C453" s="1388" t="e">
        <v>#N/A</v>
      </c>
      <c r="D453" s="1388" t="e">
        <v>#N/A</v>
      </c>
      <c r="E453" s="1388" t="e">
        <v>#N/A</v>
      </c>
      <c r="F453" s="1388" t="e">
        <f t="shared" si="0"/>
        <v>#N/A</v>
      </c>
      <c r="K453" s="1472">
        <v>42510</v>
      </c>
      <c r="L453" s="1473" t="s">
        <v>2127</v>
      </c>
      <c r="M453" s="1474">
        <v>5.2531000000000001E-2</v>
      </c>
      <c r="N453" s="1475">
        <v>1.1705887657699052</v>
      </c>
      <c r="O453" s="1475">
        <v>1.1705887657699052</v>
      </c>
    </row>
    <row r="454" spans="2:15">
      <c r="B454" s="1387">
        <v>46235</v>
      </c>
      <c r="C454" s="1388" t="e">
        <v>#N/A</v>
      </c>
      <c r="D454" s="1388" t="e">
        <v>#N/A</v>
      </c>
      <c r="E454" s="1388" t="e">
        <v>#N/A</v>
      </c>
      <c r="F454" s="1388" t="e">
        <f t="shared" si="0"/>
        <v>#N/A</v>
      </c>
      <c r="K454" s="1472">
        <v>42511</v>
      </c>
      <c r="L454" s="1473"/>
      <c r="M454" s="1474">
        <v>0</v>
      </c>
      <c r="N454" s="1475">
        <v>1.1705887657699052</v>
      </c>
      <c r="O454" s="1475">
        <v>1.1705887657699052</v>
      </c>
    </row>
    <row r="455" spans="2:15">
      <c r="B455" s="1387">
        <v>46266</v>
      </c>
      <c r="C455" s="1388" t="e">
        <v>#N/A</v>
      </c>
      <c r="D455" s="1388" t="e">
        <v>#N/A</v>
      </c>
      <c r="E455" s="1388" t="e">
        <v>#N/A</v>
      </c>
      <c r="F455" s="1388" t="e">
        <f t="shared" si="0"/>
        <v>#N/A</v>
      </c>
      <c r="K455" s="1472">
        <v>42512</v>
      </c>
      <c r="L455" s="1473"/>
      <c r="M455" s="1474">
        <v>0</v>
      </c>
      <c r="N455" s="1475">
        <v>1.1705887657699052</v>
      </c>
      <c r="O455" s="1475">
        <v>1.1705887657699052</v>
      </c>
    </row>
    <row r="456" spans="2:15">
      <c r="B456" s="1387">
        <v>46296</v>
      </c>
      <c r="C456" s="1388" t="e">
        <v>#N/A</v>
      </c>
      <c r="D456" s="1388" t="e">
        <v>#N/A</v>
      </c>
      <c r="E456" s="1388" t="e">
        <v>#N/A</v>
      </c>
      <c r="F456" s="1388" t="e">
        <f t="shared" si="0"/>
        <v>#N/A</v>
      </c>
      <c r="K456" s="1472">
        <v>42513</v>
      </c>
      <c r="L456" s="1473" t="s">
        <v>2127</v>
      </c>
      <c r="M456" s="1474">
        <v>5.2531000000000001E-2</v>
      </c>
      <c r="N456" s="1475">
        <v>1.1712036877544518</v>
      </c>
      <c r="O456" s="1475">
        <v>1.1712036877544518</v>
      </c>
    </row>
    <row r="457" spans="2:15">
      <c r="B457" s="1387">
        <v>46327</v>
      </c>
      <c r="C457" s="1388" t="e">
        <v>#N/A</v>
      </c>
      <c r="D457" s="1388" t="e">
        <v>#N/A</v>
      </c>
      <c r="E457" s="1388" t="e">
        <v>#N/A</v>
      </c>
      <c r="F457" s="1388" t="e">
        <f t="shared" si="0"/>
        <v>#N/A</v>
      </c>
      <c r="K457" s="1472">
        <v>42514</v>
      </c>
      <c r="L457" s="1473" t="s">
        <v>2127</v>
      </c>
      <c r="M457" s="1474">
        <v>5.2531000000000001E-2</v>
      </c>
      <c r="N457" s="1475">
        <v>1.1718189327636661</v>
      </c>
      <c r="O457" s="1475">
        <v>1.1718189327636661</v>
      </c>
    </row>
    <row r="458" spans="2:15">
      <c r="B458" s="1387">
        <v>46357</v>
      </c>
      <c r="C458" s="1388" t="e">
        <v>#N/A</v>
      </c>
      <c r="D458" s="1388" t="e">
        <v>#N/A</v>
      </c>
      <c r="E458" s="1388" t="e">
        <v>#N/A</v>
      </c>
      <c r="F458" s="1388" t="e">
        <f t="shared" si="0"/>
        <v>#N/A</v>
      </c>
      <c r="K458" s="1472">
        <v>42515</v>
      </c>
      <c r="L458" s="1473" t="s">
        <v>2127</v>
      </c>
      <c r="M458" s="1474">
        <v>5.2531000000000001E-2</v>
      </c>
      <c r="N458" s="1475">
        <v>1.1724345009672361</v>
      </c>
      <c r="O458" s="1475">
        <v>1.1724345009672361</v>
      </c>
    </row>
    <row r="459" spans="2:15">
      <c r="B459" s="1387">
        <v>46388</v>
      </c>
      <c r="C459" s="1388" t="e">
        <v>#N/A</v>
      </c>
      <c r="D459" s="1388" t="e">
        <v>#N/A</v>
      </c>
      <c r="E459" s="1388" t="e">
        <v>#N/A</v>
      </c>
      <c r="F459" s="1388" t="e">
        <f t="shared" si="0"/>
        <v>#N/A</v>
      </c>
      <c r="K459" s="1472">
        <v>42516</v>
      </c>
      <c r="L459" s="1473"/>
      <c r="M459" s="1474">
        <v>0</v>
      </c>
      <c r="N459" s="1475">
        <v>1.1724345009672361</v>
      </c>
      <c r="O459" s="1475">
        <v>1.1724345009672361</v>
      </c>
    </row>
    <row r="460" spans="2:15">
      <c r="B460" s="1387">
        <v>46419</v>
      </c>
      <c r="C460" s="1388" t="e">
        <v>#N/A</v>
      </c>
      <c r="D460" s="1388" t="e">
        <v>#N/A</v>
      </c>
      <c r="E460" s="1388" t="e">
        <v>#N/A</v>
      </c>
      <c r="F460" s="1388" t="e">
        <f t="shared" si="0"/>
        <v>#N/A</v>
      </c>
      <c r="K460" s="1472">
        <v>42517</v>
      </c>
      <c r="L460" s="1473" t="s">
        <v>2127</v>
      </c>
      <c r="M460" s="1474">
        <v>5.2531000000000001E-2</v>
      </c>
      <c r="N460" s="1475">
        <v>1.1730503925349391</v>
      </c>
      <c r="O460" s="1475">
        <v>1.1730503925349391</v>
      </c>
    </row>
    <row r="461" spans="2:15">
      <c r="B461" s="1387">
        <v>46447</v>
      </c>
      <c r="C461" s="1388" t="e">
        <v>#N/A</v>
      </c>
      <c r="D461" s="1388" t="e">
        <v>#N/A</v>
      </c>
      <c r="E461" s="1388" t="e">
        <v>#N/A</v>
      </c>
      <c r="F461" s="1388" t="e">
        <f t="shared" si="0"/>
        <v>#N/A</v>
      </c>
      <c r="K461" s="1472">
        <v>42518</v>
      </c>
      <c r="L461" s="1473"/>
      <c r="M461" s="1474">
        <v>0</v>
      </c>
      <c r="N461" s="1475">
        <v>1.1730503925349391</v>
      </c>
      <c r="O461" s="1475">
        <v>1.1730503925349391</v>
      </c>
    </row>
    <row r="462" spans="2:15">
      <c r="B462" s="1387">
        <v>46478</v>
      </c>
      <c r="C462" s="1388" t="e">
        <v>#N/A</v>
      </c>
      <c r="D462" s="1388" t="e">
        <v>#N/A</v>
      </c>
      <c r="E462" s="1388" t="e">
        <v>#N/A</v>
      </c>
      <c r="F462" s="1388" t="e">
        <f t="shared" si="0"/>
        <v>#N/A</v>
      </c>
      <c r="K462" s="1472">
        <v>42519</v>
      </c>
      <c r="L462" s="1473"/>
      <c r="M462" s="1474">
        <v>0</v>
      </c>
      <c r="N462" s="1475">
        <v>1.1730503925349391</v>
      </c>
      <c r="O462" s="1475">
        <v>1.1730503925349391</v>
      </c>
    </row>
    <row r="463" spans="2:15">
      <c r="B463" s="1387">
        <v>46508</v>
      </c>
      <c r="C463" s="1388" t="e">
        <v>#N/A</v>
      </c>
      <c r="D463" s="1388" t="e">
        <v>#N/A</v>
      </c>
      <c r="E463" s="1388" t="e">
        <v>#N/A</v>
      </c>
      <c r="F463" s="1388" t="e">
        <f t="shared" si="0"/>
        <v>#N/A</v>
      </c>
      <c r="K463" s="1472">
        <v>42520</v>
      </c>
      <c r="L463" s="1473" t="s">
        <v>2127</v>
      </c>
      <c r="M463" s="1474">
        <v>5.2531000000000001E-2</v>
      </c>
      <c r="N463" s="1475">
        <v>1.1736666076366418</v>
      </c>
      <c r="O463" s="1475">
        <v>1.1736666076366418</v>
      </c>
    </row>
    <row r="464" spans="2:15">
      <c r="B464" s="1387">
        <v>46539</v>
      </c>
      <c r="C464" s="1388" t="e">
        <v>#N/A</v>
      </c>
      <c r="D464" s="1388" t="e">
        <v>#N/A</v>
      </c>
      <c r="E464" s="1388" t="e">
        <v>#N/A</v>
      </c>
      <c r="F464" s="1388" t="e">
        <f t="shared" si="0"/>
        <v>#N/A</v>
      </c>
      <c r="K464" s="1472">
        <v>42521</v>
      </c>
      <c r="L464" s="1473" t="s">
        <v>2127</v>
      </c>
      <c r="M464" s="1474">
        <v>5.2531000000000001E-2</v>
      </c>
      <c r="N464" s="1475">
        <v>1.1742831464422994</v>
      </c>
      <c r="O464" s="1475">
        <v>1.1742831464422994</v>
      </c>
    </row>
    <row r="465" spans="2:15">
      <c r="B465" s="1387">
        <v>46569</v>
      </c>
      <c r="C465" s="1388" t="e">
        <v>#N/A</v>
      </c>
      <c r="D465" s="1388" t="e">
        <v>#N/A</v>
      </c>
      <c r="E465" s="1388" t="e">
        <v>#N/A</v>
      </c>
      <c r="F465" s="1388" t="e">
        <f t="shared" si="0"/>
        <v>#N/A</v>
      </c>
      <c r="K465" s="1472">
        <v>42522</v>
      </c>
      <c r="L465" s="1473" t="s">
        <v>2127</v>
      </c>
      <c r="M465" s="1474">
        <v>5.2531000000000001E-2</v>
      </c>
      <c r="N465" s="1475">
        <v>1.174900009121957</v>
      </c>
      <c r="O465" s="1475">
        <v>1.174900009121957</v>
      </c>
    </row>
    <row r="466" spans="2:15">
      <c r="B466" s="1387">
        <v>46600</v>
      </c>
      <c r="C466" s="1388" t="e">
        <v>#N/A</v>
      </c>
      <c r="D466" s="1388" t="e">
        <v>#N/A</v>
      </c>
      <c r="E466" s="1388" t="e">
        <v>#N/A</v>
      </c>
      <c r="F466" s="1388" t="e">
        <f t="shared" si="0"/>
        <v>#N/A</v>
      </c>
      <c r="K466" s="1472">
        <v>42523</v>
      </c>
      <c r="L466" s="1473" t="s">
        <v>2127</v>
      </c>
      <c r="M466" s="1474">
        <v>5.2531000000000001E-2</v>
      </c>
      <c r="N466" s="1475">
        <v>1.1755171958457489</v>
      </c>
      <c r="O466" s="1475">
        <v>1.1755171958457489</v>
      </c>
    </row>
    <row r="467" spans="2:15">
      <c r="B467" s="1387">
        <v>46631</v>
      </c>
      <c r="C467" s="1388" t="e">
        <v>#N/A</v>
      </c>
      <c r="D467" s="1388" t="e">
        <v>#N/A</v>
      </c>
      <c r="E467" s="1388" t="e">
        <v>#N/A</v>
      </c>
      <c r="F467" s="1388" t="e">
        <f t="shared" si="0"/>
        <v>#N/A</v>
      </c>
      <c r="K467" s="1472">
        <v>42524</v>
      </c>
      <c r="L467" s="1473" t="s">
        <v>2127</v>
      </c>
      <c r="M467" s="1474">
        <v>5.2531000000000001E-2</v>
      </c>
      <c r="N467" s="1475">
        <v>1.1761347067838985</v>
      </c>
      <c r="O467" s="1475">
        <v>1.1761347067838985</v>
      </c>
    </row>
    <row r="468" spans="2:15">
      <c r="B468" s="1387">
        <v>46661</v>
      </c>
      <c r="C468" s="1388" t="e">
        <v>#N/A</v>
      </c>
      <c r="D468" s="1388" t="e">
        <v>#N/A</v>
      </c>
      <c r="E468" s="1388" t="e">
        <v>#N/A</v>
      </c>
      <c r="F468" s="1388" t="e">
        <f t="shared" si="0"/>
        <v>#N/A</v>
      </c>
      <c r="K468" s="1472">
        <v>42525</v>
      </c>
      <c r="L468" s="1473"/>
      <c r="M468" s="1474">
        <v>0</v>
      </c>
      <c r="N468" s="1475">
        <v>1.1761347067838985</v>
      </c>
      <c r="O468" s="1475">
        <v>1.1761347067838985</v>
      </c>
    </row>
    <row r="469" spans="2:15">
      <c r="B469" s="1387">
        <v>46692</v>
      </c>
      <c r="C469" s="1388" t="e">
        <v>#N/A</v>
      </c>
      <c r="D469" s="1388" t="e">
        <v>#N/A</v>
      </c>
      <c r="E469" s="1388" t="e">
        <v>#N/A</v>
      </c>
      <c r="F469" s="1388" t="e">
        <f t="shared" si="0"/>
        <v>#N/A</v>
      </c>
      <c r="K469" s="1472">
        <v>42526</v>
      </c>
      <c r="L469" s="1473"/>
      <c r="M469" s="1474">
        <v>0</v>
      </c>
      <c r="N469" s="1475">
        <v>1.1761347067838985</v>
      </c>
      <c r="O469" s="1475">
        <v>1.1761347067838985</v>
      </c>
    </row>
    <row r="470" spans="2:15">
      <c r="B470" s="1387">
        <v>46722</v>
      </c>
      <c r="C470" s="1388" t="e">
        <v>#N/A</v>
      </c>
      <c r="D470" s="1388" t="e">
        <v>#N/A</v>
      </c>
      <c r="E470" s="1388" t="e">
        <v>#N/A</v>
      </c>
      <c r="F470" s="1388" t="e">
        <f t="shared" si="0"/>
        <v>#N/A</v>
      </c>
      <c r="K470" s="1472">
        <v>42527</v>
      </c>
      <c r="L470" s="1473" t="s">
        <v>2127</v>
      </c>
      <c r="M470" s="1474">
        <v>5.2531000000000001E-2</v>
      </c>
      <c r="N470" s="1475">
        <v>1.1767525421067191</v>
      </c>
      <c r="O470" s="1475">
        <v>1.1767525421067191</v>
      </c>
    </row>
    <row r="471" spans="2:15">
      <c r="B471" s="1387">
        <v>46753</v>
      </c>
      <c r="C471" s="1388" t="e">
        <v>#N/A</v>
      </c>
      <c r="D471" s="1388" t="e">
        <v>#N/A</v>
      </c>
      <c r="E471" s="1388" t="e">
        <v>#N/A</v>
      </c>
      <c r="F471" s="1388" t="e">
        <f t="shared" si="0"/>
        <v>#N/A</v>
      </c>
      <c r="K471" s="1472">
        <v>42528</v>
      </c>
      <c r="L471" s="1473" t="s">
        <v>2127</v>
      </c>
      <c r="M471" s="1474">
        <v>5.2531000000000001E-2</v>
      </c>
      <c r="N471" s="1475">
        <v>1.1773707019846131</v>
      </c>
      <c r="O471" s="1475">
        <v>1.1773707019846131</v>
      </c>
    </row>
    <row r="472" spans="2:15">
      <c r="B472" s="1387">
        <v>46784</v>
      </c>
      <c r="C472" s="1388" t="e">
        <v>#N/A</v>
      </c>
      <c r="D472" s="1388" t="e">
        <v>#N/A</v>
      </c>
      <c r="E472" s="1388" t="e">
        <v>#N/A</v>
      </c>
      <c r="F472" s="1388" t="e">
        <f t="shared" si="0"/>
        <v>#N/A</v>
      </c>
      <c r="K472" s="1472">
        <v>42529</v>
      </c>
      <c r="L472" s="1473" t="s">
        <v>2127</v>
      </c>
      <c r="M472" s="1474">
        <v>5.2531000000000001E-2</v>
      </c>
      <c r="N472" s="1475">
        <v>1.1779891865880727</v>
      </c>
      <c r="O472" s="1475">
        <v>1.1779891865880727</v>
      </c>
    </row>
    <row r="473" spans="2:15">
      <c r="B473" s="1387">
        <v>46813</v>
      </c>
      <c r="C473" s="1388" t="e">
        <v>#N/A</v>
      </c>
      <c r="D473" s="1388" t="e">
        <v>#N/A</v>
      </c>
      <c r="E473" s="1388" t="e">
        <v>#N/A</v>
      </c>
      <c r="F473" s="1388" t="e">
        <f t="shared" si="0"/>
        <v>#N/A</v>
      </c>
      <c r="K473" s="1472">
        <v>42530</v>
      </c>
      <c r="L473" s="1473" t="s">
        <v>2127</v>
      </c>
      <c r="M473" s="1474">
        <v>5.2531000000000001E-2</v>
      </c>
      <c r="N473" s="1475">
        <v>1.1786079960876794</v>
      </c>
      <c r="O473" s="1475">
        <v>1.1786079960876794</v>
      </c>
    </row>
    <row r="474" spans="2:15">
      <c r="B474" s="1387">
        <v>46844</v>
      </c>
      <c r="C474" s="1388" t="e">
        <v>#N/A</v>
      </c>
      <c r="D474" s="1388" t="e">
        <v>#N/A</v>
      </c>
      <c r="E474" s="1388" t="e">
        <v>#N/A</v>
      </c>
      <c r="F474" s="1388" t="e">
        <f t="shared" si="0"/>
        <v>#N/A</v>
      </c>
      <c r="K474" s="1472">
        <v>42531</v>
      </c>
      <c r="L474" s="1473" t="s">
        <v>2127</v>
      </c>
      <c r="M474" s="1474">
        <v>5.2531000000000001E-2</v>
      </c>
      <c r="N474" s="1475">
        <v>1.1792271306541042</v>
      </c>
      <c r="O474" s="1475">
        <v>1.1792271306541042</v>
      </c>
    </row>
    <row r="475" spans="2:15">
      <c r="B475" s="1387">
        <v>46874</v>
      </c>
      <c r="C475" s="1388" t="e">
        <v>#N/A</v>
      </c>
      <c r="D475" s="1388" t="e">
        <v>#N/A</v>
      </c>
      <c r="E475" s="1388" t="e">
        <v>#N/A</v>
      </c>
      <c r="F475" s="1388" t="e">
        <f t="shared" si="0"/>
        <v>#N/A</v>
      </c>
      <c r="K475" s="1472">
        <v>42532</v>
      </c>
      <c r="L475" s="1473"/>
      <c r="M475" s="1474">
        <v>0</v>
      </c>
      <c r="N475" s="1475">
        <v>1.1792271306541042</v>
      </c>
      <c r="O475" s="1475">
        <v>1.1792271306541042</v>
      </c>
    </row>
    <row r="476" spans="2:15">
      <c r="B476" s="1387">
        <v>46905</v>
      </c>
      <c r="C476" s="1388" t="e">
        <v>#N/A</v>
      </c>
      <c r="D476" s="1388" t="e">
        <v>#N/A</v>
      </c>
      <c r="E476" s="1388" t="e">
        <v>#N/A</v>
      </c>
      <c r="F476" s="1388" t="e">
        <f t="shared" si="0"/>
        <v>#N/A</v>
      </c>
      <c r="K476" s="1472">
        <v>42533</v>
      </c>
      <c r="L476" s="1473"/>
      <c r="M476" s="1474">
        <v>0</v>
      </c>
      <c r="N476" s="1475">
        <v>1.1792271306541042</v>
      </c>
      <c r="O476" s="1475">
        <v>1.1792271306541042</v>
      </c>
    </row>
    <row r="477" spans="2:15">
      <c r="B477" s="1387">
        <v>46935</v>
      </c>
      <c r="C477" s="1388" t="e">
        <v>#N/A</v>
      </c>
      <c r="D477" s="1388" t="e">
        <v>#N/A</v>
      </c>
      <c r="E477" s="1388" t="e">
        <v>#N/A</v>
      </c>
      <c r="F477" s="1388" t="e">
        <f t="shared" si="0"/>
        <v>#N/A</v>
      </c>
      <c r="K477" s="1472">
        <v>42534</v>
      </c>
      <c r="L477" s="1473" t="s">
        <v>2127</v>
      </c>
      <c r="M477" s="1474">
        <v>5.2531000000000001E-2</v>
      </c>
      <c r="N477" s="1475">
        <v>1.1798465904581081</v>
      </c>
      <c r="O477" s="1475">
        <v>1.1798465904581081</v>
      </c>
    </row>
    <row r="478" spans="2:15">
      <c r="B478" s="1387">
        <v>46966</v>
      </c>
      <c r="C478" s="1388" t="e">
        <v>#N/A</v>
      </c>
      <c r="D478" s="1388" t="e">
        <v>#N/A</v>
      </c>
      <c r="E478" s="1388" t="e">
        <v>#N/A</v>
      </c>
      <c r="F478" s="1388" t="e">
        <f t="shared" si="0"/>
        <v>#N/A</v>
      </c>
      <c r="K478" s="1472">
        <v>42535</v>
      </c>
      <c r="L478" s="1473" t="s">
        <v>2127</v>
      </c>
      <c r="M478" s="1474">
        <v>5.2531000000000001E-2</v>
      </c>
      <c r="N478" s="1475">
        <v>1.1804663756705416</v>
      </c>
      <c r="O478" s="1475">
        <v>1.1804663756705416</v>
      </c>
    </row>
    <row r="479" spans="2:15">
      <c r="B479" s="1387">
        <v>46997</v>
      </c>
      <c r="C479" s="1388" t="e">
        <v>#N/A</v>
      </c>
      <c r="D479" s="1388" t="e">
        <v>#N/A</v>
      </c>
      <c r="E479" s="1388" t="e">
        <v>#N/A</v>
      </c>
      <c r="F479" s="1388" t="e">
        <f t="shared" si="0"/>
        <v>#N/A</v>
      </c>
      <c r="K479" s="1472">
        <v>42536</v>
      </c>
      <c r="L479" s="1473" t="s">
        <v>2127</v>
      </c>
      <c r="M479" s="1474">
        <v>5.2531000000000001E-2</v>
      </c>
      <c r="N479" s="1475">
        <v>1.1810864864623452</v>
      </c>
      <c r="O479" s="1475">
        <v>1.1810864864623452</v>
      </c>
    </row>
    <row r="480" spans="2:15">
      <c r="B480" s="1387">
        <v>47027</v>
      </c>
      <c r="C480" s="1388" t="e">
        <v>#N/A</v>
      </c>
      <c r="D480" s="1388" t="e">
        <v>#N/A</v>
      </c>
      <c r="E480" s="1388" t="e">
        <v>#N/A</v>
      </c>
      <c r="F480" s="1388" t="e">
        <f t="shared" si="0"/>
        <v>#N/A</v>
      </c>
      <c r="K480" s="1472">
        <v>42537</v>
      </c>
      <c r="L480" s="1473" t="s">
        <v>2127</v>
      </c>
      <c r="M480" s="1474">
        <v>5.2531000000000001E-2</v>
      </c>
      <c r="N480" s="1475">
        <v>1.1817069230045487</v>
      </c>
      <c r="O480" s="1475">
        <v>1.1817069230045487</v>
      </c>
    </row>
    <row r="481" spans="2:15">
      <c r="B481" s="1387">
        <v>47058</v>
      </c>
      <c r="C481" s="1388" t="e">
        <v>#N/A</v>
      </c>
      <c r="D481" s="1388" t="e">
        <v>#N/A</v>
      </c>
      <c r="E481" s="1388" t="e">
        <v>#N/A</v>
      </c>
      <c r="F481" s="1388" t="e">
        <f t="shared" si="0"/>
        <v>#N/A</v>
      </c>
      <c r="K481" s="1472">
        <v>42538</v>
      </c>
      <c r="L481" s="1473" t="s">
        <v>2127</v>
      </c>
      <c r="M481" s="1474">
        <v>5.2531000000000001E-2</v>
      </c>
      <c r="N481" s="1475">
        <v>1.1823276854682723</v>
      </c>
      <c r="O481" s="1475">
        <v>1.1823276854682723</v>
      </c>
    </row>
    <row r="482" spans="2:15">
      <c r="B482" s="1387">
        <v>47088</v>
      </c>
      <c r="C482" s="1388" t="e">
        <v>#N/A</v>
      </c>
      <c r="D482" s="1388" t="e">
        <v>#N/A</v>
      </c>
      <c r="E482" s="1388" t="e">
        <v>#N/A</v>
      </c>
      <c r="F482" s="1388" t="e">
        <f t="shared" si="0"/>
        <v>#N/A</v>
      </c>
      <c r="K482" s="1472">
        <v>42539</v>
      </c>
      <c r="L482" s="1473"/>
      <c r="M482" s="1474">
        <v>0</v>
      </c>
      <c r="N482" s="1475">
        <v>1.1823276854682723</v>
      </c>
      <c r="O482" s="1475">
        <v>1.1823276854682723</v>
      </c>
    </row>
    <row r="483" spans="2:15">
      <c r="B483" s="1387">
        <v>47119</v>
      </c>
      <c r="C483" s="1388" t="e">
        <v>#N/A</v>
      </c>
      <c r="D483" s="1388" t="e">
        <v>#N/A</v>
      </c>
      <c r="E483" s="1388" t="e">
        <v>#N/A</v>
      </c>
      <c r="F483" s="1388" t="e">
        <f t="shared" si="0"/>
        <v>#N/A</v>
      </c>
      <c r="K483" s="1472">
        <v>42540</v>
      </c>
      <c r="L483" s="1473"/>
      <c r="M483" s="1474">
        <v>0</v>
      </c>
      <c r="N483" s="1475">
        <v>1.1823276854682723</v>
      </c>
      <c r="O483" s="1475">
        <v>1.1823276854682723</v>
      </c>
    </row>
    <row r="484" spans="2:15">
      <c r="B484" s="1387">
        <v>47150</v>
      </c>
      <c r="C484" s="1388" t="e">
        <v>#N/A</v>
      </c>
      <c r="D484" s="1388" t="e">
        <v>#N/A</v>
      </c>
      <c r="E484" s="1388" t="e">
        <v>#N/A</v>
      </c>
      <c r="F484" s="1388" t="e">
        <f t="shared" ref="F484:F500" si="1">F483*E484</f>
        <v>#N/A</v>
      </c>
      <c r="K484" s="1472">
        <v>42541</v>
      </c>
      <c r="L484" s="1473" t="s">
        <v>2127</v>
      </c>
      <c r="M484" s="1474">
        <v>5.2531000000000001E-2</v>
      </c>
      <c r="N484" s="1475">
        <v>1.1829487740247255</v>
      </c>
      <c r="O484" s="1475">
        <v>1.1829487740247255</v>
      </c>
    </row>
    <row r="485" spans="2:15">
      <c r="B485" s="1387">
        <v>47178</v>
      </c>
      <c r="C485" s="1388" t="e">
        <v>#N/A</v>
      </c>
      <c r="D485" s="1388" t="e">
        <v>#N/A</v>
      </c>
      <c r="E485" s="1388" t="e">
        <v>#N/A</v>
      </c>
      <c r="F485" s="1388" t="e">
        <f t="shared" si="1"/>
        <v>#N/A</v>
      </c>
      <c r="K485" s="1472">
        <v>42542</v>
      </c>
      <c r="L485" s="1473" t="s">
        <v>2127</v>
      </c>
      <c r="M485" s="1474">
        <v>5.2531000000000001E-2</v>
      </c>
      <c r="N485" s="1475">
        <v>1.1835701888452084</v>
      </c>
      <c r="O485" s="1475">
        <v>1.1835701888452084</v>
      </c>
    </row>
    <row r="486" spans="2:15">
      <c r="B486" s="1387">
        <v>47209</v>
      </c>
      <c r="C486" s="1388" t="e">
        <v>#N/A</v>
      </c>
      <c r="D486" s="1388" t="e">
        <v>#N/A</v>
      </c>
      <c r="E486" s="1388" t="e">
        <v>#N/A</v>
      </c>
      <c r="F486" s="1388" t="e">
        <f t="shared" si="1"/>
        <v>#N/A</v>
      </c>
      <c r="K486" s="1472">
        <v>42543</v>
      </c>
      <c r="L486" s="1473" t="s">
        <v>2127</v>
      </c>
      <c r="M486" s="1474">
        <v>5.2531000000000001E-2</v>
      </c>
      <c r="N486" s="1475">
        <v>1.1841919301011106</v>
      </c>
      <c r="O486" s="1475">
        <v>1.1841919301011106</v>
      </c>
    </row>
    <row r="487" spans="2:15">
      <c r="B487" s="1387">
        <v>47239</v>
      </c>
      <c r="C487" s="1388" t="e">
        <v>#N/A</v>
      </c>
      <c r="D487" s="1388" t="e">
        <v>#N/A</v>
      </c>
      <c r="E487" s="1388" t="e">
        <v>#N/A</v>
      </c>
      <c r="F487" s="1388" t="e">
        <f t="shared" si="1"/>
        <v>#N/A</v>
      </c>
      <c r="K487" s="1472">
        <v>42544</v>
      </c>
      <c r="L487" s="1473" t="s">
        <v>2127</v>
      </c>
      <c r="M487" s="1474">
        <v>5.2531000000000001E-2</v>
      </c>
      <c r="N487" s="1475">
        <v>1.1848139979639121</v>
      </c>
      <c r="O487" s="1475">
        <v>1.1848139979639121</v>
      </c>
    </row>
    <row r="488" spans="2:15">
      <c r="B488" s="1387">
        <v>47270</v>
      </c>
      <c r="C488" s="1388" t="e">
        <v>#N/A</v>
      </c>
      <c r="D488" s="1388" t="e">
        <v>#N/A</v>
      </c>
      <c r="E488" s="1388" t="e">
        <v>#N/A</v>
      </c>
      <c r="F488" s="1388" t="e">
        <f t="shared" si="1"/>
        <v>#N/A</v>
      </c>
      <c r="K488" s="1472">
        <v>42545</v>
      </c>
      <c r="L488" s="1473" t="s">
        <v>2127</v>
      </c>
      <c r="M488" s="1474">
        <v>5.2531000000000001E-2</v>
      </c>
      <c r="N488" s="1475">
        <v>1.1854363926051825</v>
      </c>
      <c r="O488" s="1475">
        <v>1.1854363926051825</v>
      </c>
    </row>
    <row r="489" spans="2:15">
      <c r="B489" s="1387">
        <v>47300</v>
      </c>
      <c r="C489" s="1388" t="e">
        <v>#N/A</v>
      </c>
      <c r="D489" s="1388" t="e">
        <v>#N/A</v>
      </c>
      <c r="E489" s="1388" t="e">
        <v>#N/A</v>
      </c>
      <c r="F489" s="1388" t="e">
        <f t="shared" si="1"/>
        <v>#N/A</v>
      </c>
      <c r="K489" s="1472">
        <v>42546</v>
      </c>
      <c r="L489" s="1473"/>
      <c r="M489" s="1474">
        <v>0</v>
      </c>
      <c r="N489" s="1475">
        <v>1.1854363926051825</v>
      </c>
      <c r="O489" s="1475">
        <v>1.1854363926051825</v>
      </c>
    </row>
    <row r="490" spans="2:15">
      <c r="B490" s="1387">
        <v>47331</v>
      </c>
      <c r="C490" s="1388" t="e">
        <v>#N/A</v>
      </c>
      <c r="D490" s="1388" t="e">
        <v>#N/A</v>
      </c>
      <c r="E490" s="1388" t="e">
        <v>#N/A</v>
      </c>
      <c r="F490" s="1388" t="e">
        <f t="shared" si="1"/>
        <v>#N/A</v>
      </c>
      <c r="K490" s="1472">
        <v>42547</v>
      </c>
      <c r="L490" s="1473"/>
      <c r="M490" s="1474">
        <v>0</v>
      </c>
      <c r="N490" s="1475">
        <v>1.1854363926051825</v>
      </c>
      <c r="O490" s="1475">
        <v>1.1854363926051825</v>
      </c>
    </row>
    <row r="491" spans="2:15">
      <c r="B491" s="1387">
        <v>47362</v>
      </c>
      <c r="C491" s="1388" t="e">
        <v>#N/A</v>
      </c>
      <c r="D491" s="1388" t="e">
        <v>#N/A</v>
      </c>
      <c r="E491" s="1388" t="e">
        <v>#N/A</v>
      </c>
      <c r="F491" s="1388" t="e">
        <f t="shared" si="1"/>
        <v>#N/A</v>
      </c>
      <c r="K491" s="1472">
        <v>42548</v>
      </c>
      <c r="L491" s="1473" t="s">
        <v>2127</v>
      </c>
      <c r="M491" s="1474">
        <v>5.2531000000000001E-2</v>
      </c>
      <c r="N491" s="1475">
        <v>1.1860591141965819</v>
      </c>
      <c r="O491" s="1475">
        <v>1.1860591141965819</v>
      </c>
    </row>
    <row r="492" spans="2:15">
      <c r="B492" s="1387">
        <v>47392</v>
      </c>
      <c r="C492" s="1388" t="e">
        <v>#N/A</v>
      </c>
      <c r="D492" s="1388" t="e">
        <v>#N/A</v>
      </c>
      <c r="E492" s="1388" t="e">
        <v>#N/A</v>
      </c>
      <c r="F492" s="1388" t="e">
        <f t="shared" si="1"/>
        <v>#N/A</v>
      </c>
      <c r="K492" s="1472">
        <v>42549</v>
      </c>
      <c r="L492" s="1473" t="s">
        <v>2127</v>
      </c>
      <c r="M492" s="1474">
        <v>5.2531000000000001E-2</v>
      </c>
      <c r="N492" s="1475">
        <v>1.1866821629098605</v>
      </c>
      <c r="O492" s="1475">
        <v>1.1866821629098605</v>
      </c>
    </row>
    <row r="493" spans="2:15">
      <c r="B493" s="1387">
        <v>47423</v>
      </c>
      <c r="C493" s="1388" t="e">
        <v>#N/A</v>
      </c>
      <c r="D493" s="1388" t="e">
        <v>#N/A</v>
      </c>
      <c r="E493" s="1388" t="e">
        <v>#N/A</v>
      </c>
      <c r="F493" s="1388" t="e">
        <f t="shared" si="1"/>
        <v>#N/A</v>
      </c>
      <c r="K493" s="1472">
        <v>42550</v>
      </c>
      <c r="L493" s="1473" t="s">
        <v>2127</v>
      </c>
      <c r="M493" s="1474">
        <v>5.2531000000000001E-2</v>
      </c>
      <c r="N493" s="1475">
        <v>1.1873055389168587</v>
      </c>
      <c r="O493" s="1475">
        <v>1.1873055389168587</v>
      </c>
    </row>
    <row r="494" spans="2:15">
      <c r="B494" s="1387">
        <v>47453</v>
      </c>
      <c r="C494" s="1388" t="e">
        <v>#N/A</v>
      </c>
      <c r="D494" s="1388" t="e">
        <v>#N/A</v>
      </c>
      <c r="E494" s="1388" t="e">
        <v>#N/A</v>
      </c>
      <c r="F494" s="1388" t="e">
        <f t="shared" si="1"/>
        <v>#N/A</v>
      </c>
      <c r="K494" s="1472">
        <v>42551</v>
      </c>
      <c r="L494" s="1473" t="s">
        <v>2127</v>
      </c>
      <c r="M494" s="1474">
        <v>5.2531000000000001E-2</v>
      </c>
      <c r="N494" s="1475">
        <v>1.1879292423895071</v>
      </c>
      <c r="O494" s="1475">
        <v>1.1879292423895071</v>
      </c>
    </row>
    <row r="495" spans="2:15">
      <c r="B495" s="1387">
        <v>47484</v>
      </c>
      <c r="C495" s="1388" t="e">
        <v>#N/A</v>
      </c>
      <c r="D495" s="1388" t="e">
        <v>#N/A</v>
      </c>
      <c r="E495" s="1388" t="e">
        <v>#N/A</v>
      </c>
      <c r="F495" s="1388" t="e">
        <f t="shared" si="1"/>
        <v>#N/A</v>
      </c>
      <c r="K495" s="1472">
        <v>42552</v>
      </c>
      <c r="L495" s="1473" t="s">
        <v>2127</v>
      </c>
      <c r="M495" s="1474">
        <v>5.2531000000000001E-2</v>
      </c>
      <c r="N495" s="1475">
        <v>1.1885532734998268</v>
      </c>
      <c r="O495" s="1475">
        <v>1.1885532734998268</v>
      </c>
    </row>
    <row r="496" spans="2:15">
      <c r="B496" s="1387">
        <v>47515</v>
      </c>
      <c r="C496" s="1388" t="e">
        <v>#N/A</v>
      </c>
      <c r="D496" s="1388" t="e">
        <v>#N/A</v>
      </c>
      <c r="E496" s="1388" t="e">
        <v>#N/A</v>
      </c>
      <c r="F496" s="1388" t="e">
        <f t="shared" si="1"/>
        <v>#N/A</v>
      </c>
      <c r="K496" s="1472">
        <v>42553</v>
      </c>
      <c r="L496" s="1473"/>
      <c r="M496" s="1474">
        <v>0</v>
      </c>
      <c r="N496" s="1475">
        <v>1.1885532734998268</v>
      </c>
      <c r="O496" s="1475">
        <v>1.1885532734998268</v>
      </c>
    </row>
    <row r="497" spans="2:15">
      <c r="B497" s="1387">
        <v>47543</v>
      </c>
      <c r="C497" s="1388" t="e">
        <v>#N/A</v>
      </c>
      <c r="D497" s="1388" t="e">
        <v>#N/A</v>
      </c>
      <c r="E497" s="1388" t="e">
        <v>#N/A</v>
      </c>
      <c r="F497" s="1388" t="e">
        <f t="shared" si="1"/>
        <v>#N/A</v>
      </c>
      <c r="K497" s="1472">
        <v>42554</v>
      </c>
      <c r="L497" s="1473"/>
      <c r="M497" s="1474">
        <v>0</v>
      </c>
      <c r="N497" s="1475">
        <v>1.1885532734998268</v>
      </c>
      <c r="O497" s="1475">
        <v>1.1885532734998268</v>
      </c>
    </row>
    <row r="498" spans="2:15">
      <c r="B498" s="1387">
        <v>47574</v>
      </c>
      <c r="C498" s="1388" t="e">
        <v>#N/A</v>
      </c>
      <c r="D498" s="1388" t="e">
        <v>#N/A</v>
      </c>
      <c r="E498" s="1388" t="e">
        <v>#N/A</v>
      </c>
      <c r="F498" s="1388" t="e">
        <f t="shared" si="1"/>
        <v>#N/A</v>
      </c>
      <c r="K498" s="1472">
        <v>42555</v>
      </c>
      <c r="L498" s="1473" t="s">
        <v>2127</v>
      </c>
      <c r="M498" s="1474">
        <v>5.2531000000000001E-2</v>
      </c>
      <c r="N498" s="1475">
        <v>1.189177632419929</v>
      </c>
      <c r="O498" s="1475">
        <v>1.189177632419929</v>
      </c>
    </row>
    <row r="499" spans="2:15">
      <c r="B499" s="1387">
        <v>47604</v>
      </c>
      <c r="C499" s="1388" t="e">
        <v>#N/A</v>
      </c>
      <c r="D499" s="1388" t="e">
        <v>#N/A</v>
      </c>
      <c r="E499" s="1388" t="e">
        <v>#N/A</v>
      </c>
      <c r="F499" s="1388" t="e">
        <f t="shared" si="1"/>
        <v>#N/A</v>
      </c>
      <c r="K499" s="1472">
        <v>42556</v>
      </c>
      <c r="L499" s="1473" t="s">
        <v>2127</v>
      </c>
      <c r="M499" s="1474">
        <v>5.2531000000000001E-2</v>
      </c>
      <c r="N499" s="1475">
        <v>1.1898023193220155</v>
      </c>
      <c r="O499" s="1475">
        <v>1.1898023193220155</v>
      </c>
    </row>
    <row r="500" spans="2:15">
      <c r="B500" s="1387">
        <v>47635</v>
      </c>
      <c r="C500" s="1388" t="e">
        <v>#N/A</v>
      </c>
      <c r="D500" s="1388" t="e">
        <v>#N/A</v>
      </c>
      <c r="E500" s="1388" t="e">
        <v>#N/A</v>
      </c>
      <c r="F500" s="1388" t="e">
        <f t="shared" si="1"/>
        <v>#N/A</v>
      </c>
      <c r="K500" s="1472">
        <v>42557</v>
      </c>
      <c r="L500" s="1473" t="s">
        <v>2127</v>
      </c>
      <c r="M500" s="1474">
        <v>5.2531000000000001E-2</v>
      </c>
      <c r="N500" s="1475">
        <v>1.1904273343783787</v>
      </c>
      <c r="O500" s="1475">
        <v>1.1904273343783787</v>
      </c>
    </row>
    <row r="501" spans="2:15">
      <c r="K501" s="1472">
        <v>42558</v>
      </c>
      <c r="L501" s="1473" t="s">
        <v>2127</v>
      </c>
      <c r="M501" s="1474">
        <v>5.2531000000000001E-2</v>
      </c>
      <c r="N501" s="1475">
        <v>1.191052677761401</v>
      </c>
      <c r="O501" s="1475">
        <v>1.191052677761401</v>
      </c>
    </row>
    <row r="502" spans="2:15">
      <c r="K502" s="1472">
        <v>42559</v>
      </c>
      <c r="L502" s="1473" t="s">
        <v>2127</v>
      </c>
      <c r="M502" s="1474">
        <v>5.2531000000000001E-2</v>
      </c>
      <c r="N502" s="1475">
        <v>1.1916783496435559</v>
      </c>
      <c r="O502" s="1475">
        <v>1.1916783496435559</v>
      </c>
    </row>
    <row r="503" spans="2:15">
      <c r="K503" s="1472">
        <v>42560</v>
      </c>
      <c r="L503" s="1473"/>
      <c r="M503" s="1474">
        <v>0</v>
      </c>
      <c r="N503" s="1475">
        <v>1.1916783496435559</v>
      </c>
      <c r="O503" s="1475">
        <v>1.1916783496435559</v>
      </c>
    </row>
    <row r="504" spans="2:15">
      <c r="K504" s="1472">
        <v>42561</v>
      </c>
      <c r="L504" s="1473"/>
      <c r="M504" s="1474">
        <v>0</v>
      </c>
      <c r="N504" s="1475">
        <v>1.1916783496435559</v>
      </c>
      <c r="O504" s="1475">
        <v>1.1916783496435559</v>
      </c>
    </row>
    <row r="505" spans="2:15">
      <c r="K505" s="1472">
        <v>42562</v>
      </c>
      <c r="L505" s="1473" t="s">
        <v>2127</v>
      </c>
      <c r="M505" s="1474">
        <v>5.2531000000000001E-2</v>
      </c>
      <c r="N505" s="1475">
        <v>1.1923043501974071</v>
      </c>
      <c r="O505" s="1475">
        <v>1.1923043501974071</v>
      </c>
    </row>
    <row r="506" spans="2:15">
      <c r="K506" s="1472">
        <v>42563</v>
      </c>
      <c r="L506" s="1473" t="s">
        <v>2127</v>
      </c>
      <c r="M506" s="1474">
        <v>5.2531000000000001E-2</v>
      </c>
      <c r="N506" s="1475">
        <v>1.1929306795956094</v>
      </c>
      <c r="O506" s="1475">
        <v>1.1929306795956094</v>
      </c>
    </row>
    <row r="507" spans="2:15">
      <c r="K507" s="1472">
        <v>42564</v>
      </c>
      <c r="L507" s="1473" t="s">
        <v>2127</v>
      </c>
      <c r="M507" s="1474">
        <v>5.2531000000000001E-2</v>
      </c>
      <c r="N507" s="1475">
        <v>1.1935573380109077</v>
      </c>
      <c r="O507" s="1475">
        <v>1.1935573380109077</v>
      </c>
    </row>
    <row r="508" spans="2:15">
      <c r="K508" s="1472">
        <v>42565</v>
      </c>
      <c r="L508" s="1473" t="s">
        <v>2127</v>
      </c>
      <c r="M508" s="1474">
        <v>5.2531000000000001E-2</v>
      </c>
      <c r="N508" s="1475">
        <v>1.1941843256161382</v>
      </c>
      <c r="O508" s="1475">
        <v>1.1941843256161382</v>
      </c>
    </row>
    <row r="509" spans="2:15">
      <c r="K509" s="1472">
        <v>42566</v>
      </c>
      <c r="L509" s="1473" t="s">
        <v>2127</v>
      </c>
      <c r="M509" s="1474">
        <v>5.2531000000000001E-2</v>
      </c>
      <c r="N509" s="1475">
        <v>1.1948116425842277</v>
      </c>
      <c r="O509" s="1475">
        <v>1.1948116425842277</v>
      </c>
    </row>
    <row r="510" spans="2:15">
      <c r="K510" s="1472">
        <v>42567</v>
      </c>
      <c r="L510" s="1473"/>
      <c r="M510" s="1474">
        <v>0</v>
      </c>
      <c r="N510" s="1475">
        <v>1.1948116425842277</v>
      </c>
      <c r="O510" s="1475">
        <v>1.1948116425842277</v>
      </c>
    </row>
    <row r="511" spans="2:15">
      <c r="K511" s="1472">
        <v>42568</v>
      </c>
      <c r="L511" s="1473"/>
      <c r="M511" s="1474">
        <v>0</v>
      </c>
      <c r="N511" s="1475">
        <v>1.1948116425842277</v>
      </c>
      <c r="O511" s="1475">
        <v>1.1948116425842277</v>
      </c>
    </row>
    <row r="512" spans="2:15">
      <c r="K512" s="1472">
        <v>42569</v>
      </c>
      <c r="L512" s="1473" t="s">
        <v>2127</v>
      </c>
      <c r="M512" s="1474">
        <v>5.2531000000000001E-2</v>
      </c>
      <c r="N512" s="1475">
        <v>1.1954392890881935</v>
      </c>
      <c r="O512" s="1475">
        <v>1.1954392890881935</v>
      </c>
    </row>
    <row r="513" spans="11:15">
      <c r="K513" s="1472">
        <v>42570</v>
      </c>
      <c r="L513" s="1473" t="s">
        <v>2127</v>
      </c>
      <c r="M513" s="1474">
        <v>5.2531000000000001E-2</v>
      </c>
      <c r="N513" s="1475">
        <v>1.1960672653011444</v>
      </c>
      <c r="O513" s="1475">
        <v>1.1960672653011444</v>
      </c>
    </row>
    <row r="514" spans="11:15">
      <c r="K514" s="1472">
        <v>42571</v>
      </c>
      <c r="L514" s="1473" t="s">
        <v>2127</v>
      </c>
      <c r="M514" s="1474">
        <v>5.2531000000000001E-2</v>
      </c>
      <c r="N514" s="1475">
        <v>1.1966955713962797</v>
      </c>
      <c r="O514" s="1475">
        <v>1.1966955713962797</v>
      </c>
    </row>
    <row r="515" spans="11:15">
      <c r="K515" s="1472">
        <v>42572</v>
      </c>
      <c r="L515" s="1473" t="s">
        <v>2127</v>
      </c>
      <c r="M515" s="1474">
        <v>5.2531000000000001E-2</v>
      </c>
      <c r="N515" s="1475">
        <v>1.19732420754689</v>
      </c>
      <c r="O515" s="1475">
        <v>1.19732420754689</v>
      </c>
    </row>
    <row r="516" spans="11:15">
      <c r="K516" s="1472">
        <v>42573</v>
      </c>
      <c r="L516" s="1473" t="s">
        <v>2127</v>
      </c>
      <c r="M516" s="1474">
        <v>5.2531000000000001E-2</v>
      </c>
      <c r="N516" s="1475">
        <v>1.1979531739263565</v>
      </c>
      <c r="O516" s="1475">
        <v>1.1979531739263565</v>
      </c>
    </row>
    <row r="517" spans="11:15">
      <c r="K517" s="1472">
        <v>42574</v>
      </c>
      <c r="L517" s="1473"/>
      <c r="M517" s="1474">
        <v>0</v>
      </c>
      <c r="N517" s="1475">
        <v>1.1979531739263565</v>
      </c>
      <c r="O517" s="1475">
        <v>1.1979531739263565</v>
      </c>
    </row>
    <row r="518" spans="11:15">
      <c r="K518" s="1472">
        <v>42575</v>
      </c>
      <c r="L518" s="1473"/>
      <c r="M518" s="1474">
        <v>0</v>
      </c>
      <c r="N518" s="1475">
        <v>1.1979531739263565</v>
      </c>
      <c r="O518" s="1475">
        <v>1.1979531739263565</v>
      </c>
    </row>
    <row r="519" spans="11:15">
      <c r="K519" s="1472">
        <v>42576</v>
      </c>
      <c r="L519" s="1473" t="s">
        <v>2127</v>
      </c>
      <c r="M519" s="1474">
        <v>5.2531000000000001E-2</v>
      </c>
      <c r="N519" s="1475">
        <v>1.1985824707081518</v>
      </c>
      <c r="O519" s="1475">
        <v>1.1985824707081518</v>
      </c>
    </row>
    <row r="520" spans="11:15">
      <c r="K520" s="1472">
        <v>42577</v>
      </c>
      <c r="L520" s="1473" t="s">
        <v>2127</v>
      </c>
      <c r="M520" s="1474">
        <v>5.2531000000000001E-2</v>
      </c>
      <c r="N520" s="1475">
        <v>1.1992120980658396</v>
      </c>
      <c r="O520" s="1475">
        <v>1.1992120980658396</v>
      </c>
    </row>
    <row r="521" spans="11:15">
      <c r="K521" s="1472">
        <v>42578</v>
      </c>
      <c r="L521" s="1473" t="s">
        <v>2127</v>
      </c>
      <c r="M521" s="1474">
        <v>5.2531000000000001E-2</v>
      </c>
      <c r="N521" s="1475">
        <v>1.1998420561730745</v>
      </c>
      <c r="O521" s="1475">
        <v>1.1998420561730745</v>
      </c>
    </row>
    <row r="522" spans="11:15">
      <c r="K522" s="1472">
        <v>42579</v>
      </c>
      <c r="L522" s="1473" t="s">
        <v>2127</v>
      </c>
      <c r="M522" s="1474">
        <v>5.2531000000000001E-2</v>
      </c>
      <c r="N522" s="1475">
        <v>1.2004723452036028</v>
      </c>
      <c r="O522" s="1475">
        <v>1.2004723452036028</v>
      </c>
    </row>
    <row r="523" spans="11:15">
      <c r="K523" s="1472">
        <v>42580</v>
      </c>
      <c r="L523" s="1473" t="s">
        <v>2127</v>
      </c>
      <c r="M523" s="1474">
        <v>5.2531000000000001E-2</v>
      </c>
      <c r="N523" s="1475">
        <v>1.2011029653312617</v>
      </c>
      <c r="O523" s="1475">
        <v>1.2011029653312617</v>
      </c>
    </row>
    <row r="524" spans="11:15">
      <c r="K524" s="1472">
        <v>42581</v>
      </c>
      <c r="L524" s="1473"/>
      <c r="M524" s="1474">
        <v>0</v>
      </c>
      <c r="N524" s="1475">
        <v>1.2011029653312617</v>
      </c>
      <c r="O524" s="1475">
        <v>1.2011029653312617</v>
      </c>
    </row>
    <row r="525" spans="11:15">
      <c r="K525" s="1472">
        <v>42582</v>
      </c>
      <c r="L525" s="1473"/>
      <c r="M525" s="1474">
        <v>0</v>
      </c>
      <c r="N525" s="1475">
        <v>1.2011029653312617</v>
      </c>
      <c r="O525" s="1475">
        <v>1.2011029653312617</v>
      </c>
    </row>
    <row r="526" spans="11:15">
      <c r="K526" s="1472">
        <v>42583</v>
      </c>
      <c r="L526" s="1473" t="s">
        <v>2127</v>
      </c>
      <c r="M526" s="1474">
        <v>5.2531000000000001E-2</v>
      </c>
      <c r="N526" s="1475">
        <v>1.2017339167299799</v>
      </c>
      <c r="O526" s="1475">
        <v>1.2017339167299799</v>
      </c>
    </row>
    <row r="527" spans="11:15">
      <c r="K527" s="1472">
        <v>42584</v>
      </c>
      <c r="L527" s="1473" t="s">
        <v>2127</v>
      </c>
      <c r="M527" s="1474">
        <v>5.2531000000000001E-2</v>
      </c>
      <c r="N527" s="1475">
        <v>1.2023651995737772</v>
      </c>
      <c r="O527" s="1475">
        <v>1.2023651995737772</v>
      </c>
    </row>
    <row r="528" spans="11:15">
      <c r="K528" s="1472">
        <v>42585</v>
      </c>
      <c r="L528" s="1473" t="s">
        <v>2127</v>
      </c>
      <c r="M528" s="1474">
        <v>5.2531000000000001E-2</v>
      </c>
      <c r="N528" s="1475">
        <v>1.2029968140367653</v>
      </c>
      <c r="O528" s="1475">
        <v>1.2029968140367653</v>
      </c>
    </row>
    <row r="529" spans="11:15">
      <c r="K529" s="1472">
        <v>42586</v>
      </c>
      <c r="L529" s="1473" t="s">
        <v>2127</v>
      </c>
      <c r="M529" s="1474">
        <v>5.2531000000000001E-2</v>
      </c>
      <c r="N529" s="1475">
        <v>1.203628760293147</v>
      </c>
      <c r="O529" s="1475">
        <v>1.203628760293147</v>
      </c>
    </row>
    <row r="530" spans="11:15">
      <c r="K530" s="1472">
        <v>42587</v>
      </c>
      <c r="L530" s="1473" t="s">
        <v>2127</v>
      </c>
      <c r="M530" s="1474">
        <v>5.2531000000000001E-2</v>
      </c>
      <c r="N530" s="1475">
        <v>1.2042610385172166</v>
      </c>
      <c r="O530" s="1475">
        <v>1.2042610385172166</v>
      </c>
    </row>
    <row r="531" spans="11:15">
      <c r="K531" s="1472">
        <v>42588</v>
      </c>
      <c r="L531" s="1473"/>
      <c r="M531" s="1474">
        <v>0</v>
      </c>
      <c r="N531" s="1475">
        <v>1.2042610385172166</v>
      </c>
      <c r="O531" s="1475">
        <v>1.2042610385172166</v>
      </c>
    </row>
    <row r="532" spans="11:15">
      <c r="K532" s="1472">
        <v>42589</v>
      </c>
      <c r="L532" s="1473"/>
      <c r="M532" s="1474">
        <v>0</v>
      </c>
      <c r="N532" s="1475">
        <v>1.2042610385172166</v>
      </c>
      <c r="O532" s="1475">
        <v>1.2042610385172166</v>
      </c>
    </row>
    <row r="533" spans="11:15">
      <c r="K533" s="1472">
        <v>42590</v>
      </c>
      <c r="L533" s="1473" t="s">
        <v>2127</v>
      </c>
      <c r="M533" s="1474">
        <v>5.2531000000000001E-2</v>
      </c>
      <c r="N533" s="1475">
        <v>1.2048936488833599</v>
      </c>
      <c r="O533" s="1475">
        <v>1.2048936488833599</v>
      </c>
    </row>
    <row r="534" spans="11:15">
      <c r="K534" s="1472">
        <v>42591</v>
      </c>
      <c r="L534" s="1473" t="s">
        <v>2127</v>
      </c>
      <c r="M534" s="1474">
        <v>5.2531000000000001E-2</v>
      </c>
      <c r="N534" s="1475">
        <v>1.2055265915660549</v>
      </c>
      <c r="O534" s="1475">
        <v>1.2055265915660549</v>
      </c>
    </row>
    <row r="535" spans="11:15">
      <c r="K535" s="1472">
        <v>42592</v>
      </c>
      <c r="L535" s="1473" t="s">
        <v>2127</v>
      </c>
      <c r="M535" s="1474">
        <v>5.2531000000000001E-2</v>
      </c>
      <c r="N535" s="1475">
        <v>1.2061598667398705</v>
      </c>
      <c r="O535" s="1475">
        <v>1.2061598667398705</v>
      </c>
    </row>
    <row r="536" spans="11:15">
      <c r="K536" s="1472">
        <v>42593</v>
      </c>
      <c r="L536" s="1473" t="s">
        <v>2127</v>
      </c>
      <c r="M536" s="1474">
        <v>5.2531000000000001E-2</v>
      </c>
      <c r="N536" s="1475">
        <v>1.2067934745794677</v>
      </c>
      <c r="O536" s="1475">
        <v>1.2067934745794677</v>
      </c>
    </row>
    <row r="537" spans="11:15">
      <c r="K537" s="1472">
        <v>42594</v>
      </c>
      <c r="L537" s="1473" t="s">
        <v>2127</v>
      </c>
      <c r="M537" s="1474">
        <v>5.2531000000000001E-2</v>
      </c>
      <c r="N537" s="1475">
        <v>1.2074274152595992</v>
      </c>
      <c r="O537" s="1475">
        <v>1.2074274152595992</v>
      </c>
    </row>
    <row r="538" spans="11:15">
      <c r="K538" s="1472">
        <v>42595</v>
      </c>
      <c r="L538" s="1473"/>
      <c r="M538" s="1474">
        <v>0</v>
      </c>
      <c r="N538" s="1475">
        <v>1.2074274152595992</v>
      </c>
      <c r="O538" s="1475">
        <v>1.2074274152595992</v>
      </c>
    </row>
    <row r="539" spans="11:15">
      <c r="K539" s="1472">
        <v>42596</v>
      </c>
      <c r="L539" s="1473"/>
      <c r="M539" s="1474">
        <v>0</v>
      </c>
      <c r="N539" s="1475">
        <v>1.2074274152595992</v>
      </c>
      <c r="O539" s="1475">
        <v>1.2074274152595992</v>
      </c>
    </row>
    <row r="540" spans="11:15">
      <c r="K540" s="1472">
        <v>42597</v>
      </c>
      <c r="L540" s="1473" t="s">
        <v>2127</v>
      </c>
      <c r="M540" s="1474">
        <v>5.2531000000000001E-2</v>
      </c>
      <c r="N540" s="1475">
        <v>1.2080616889551092</v>
      </c>
      <c r="O540" s="1475">
        <v>1.2080616889551092</v>
      </c>
    </row>
    <row r="541" spans="11:15">
      <c r="K541" s="1472">
        <v>42598</v>
      </c>
      <c r="L541" s="1473" t="s">
        <v>2127</v>
      </c>
      <c r="M541" s="1474">
        <v>5.2531000000000001E-2</v>
      </c>
      <c r="N541" s="1475">
        <v>1.2086962958409342</v>
      </c>
      <c r="O541" s="1475">
        <v>1.2086962958409342</v>
      </c>
    </row>
    <row r="542" spans="11:15">
      <c r="K542" s="1472">
        <v>42599</v>
      </c>
      <c r="L542" s="1473" t="s">
        <v>2127</v>
      </c>
      <c r="M542" s="1474">
        <v>5.2531000000000001E-2</v>
      </c>
      <c r="N542" s="1475">
        <v>1.2093312360921025</v>
      </c>
      <c r="O542" s="1475">
        <v>1.2093312360921025</v>
      </c>
    </row>
    <row r="543" spans="11:15">
      <c r="K543" s="1472">
        <v>42600</v>
      </c>
      <c r="L543" s="1473" t="s">
        <v>2127</v>
      </c>
      <c r="M543" s="1474">
        <v>5.2531000000000001E-2</v>
      </c>
      <c r="N543" s="1475">
        <v>1.209966509883734</v>
      </c>
      <c r="O543" s="1475">
        <v>1.209966509883734</v>
      </c>
    </row>
    <row r="544" spans="11:15">
      <c r="K544" s="1472">
        <v>42601</v>
      </c>
      <c r="L544" s="1473" t="s">
        <v>2127</v>
      </c>
      <c r="M544" s="1474">
        <v>5.2531000000000001E-2</v>
      </c>
      <c r="N544" s="1475">
        <v>1.2106021173910411</v>
      </c>
      <c r="O544" s="1475">
        <v>1.2106021173910411</v>
      </c>
    </row>
    <row r="545" spans="11:15">
      <c r="K545" s="1472">
        <v>42602</v>
      </c>
      <c r="L545" s="1473"/>
      <c r="M545" s="1474">
        <v>0</v>
      </c>
      <c r="N545" s="1475">
        <v>1.2106021173910411</v>
      </c>
      <c r="O545" s="1475">
        <v>1.2106021173910411</v>
      </c>
    </row>
    <row r="546" spans="11:15">
      <c r="K546" s="1472">
        <v>42603</v>
      </c>
      <c r="L546" s="1473"/>
      <c r="M546" s="1474">
        <v>0</v>
      </c>
      <c r="N546" s="1475">
        <v>1.2106021173910411</v>
      </c>
      <c r="O546" s="1475">
        <v>1.2106021173910411</v>
      </c>
    </row>
    <row r="547" spans="11:15">
      <c r="K547" s="1472">
        <v>42604</v>
      </c>
      <c r="L547" s="1473" t="s">
        <v>2127</v>
      </c>
      <c r="M547" s="1474">
        <v>5.2531000000000001E-2</v>
      </c>
      <c r="N547" s="1475">
        <v>1.2112380587893277</v>
      </c>
      <c r="O547" s="1475">
        <v>1.2112380587893277</v>
      </c>
    </row>
    <row r="548" spans="11:15">
      <c r="K548" s="1472">
        <v>42605</v>
      </c>
      <c r="L548" s="1473" t="s">
        <v>2127</v>
      </c>
      <c r="M548" s="1474">
        <v>5.2531000000000001E-2</v>
      </c>
      <c r="N548" s="1475">
        <v>1.2118743342539904</v>
      </c>
      <c r="O548" s="1475">
        <v>1.2118743342539904</v>
      </c>
    </row>
    <row r="549" spans="11:15">
      <c r="K549" s="1472">
        <v>42606</v>
      </c>
      <c r="L549" s="1473" t="s">
        <v>2127</v>
      </c>
      <c r="M549" s="1474">
        <v>5.2531000000000001E-2</v>
      </c>
      <c r="N549" s="1475">
        <v>1.2125109439605173</v>
      </c>
      <c r="O549" s="1475">
        <v>1.2125109439605173</v>
      </c>
    </row>
    <row r="550" spans="11:15">
      <c r="K550" s="1472">
        <v>42607</v>
      </c>
      <c r="L550" s="1473" t="s">
        <v>2127</v>
      </c>
      <c r="M550" s="1474">
        <v>5.2531000000000001E-2</v>
      </c>
      <c r="N550" s="1475">
        <v>1.2131478880844893</v>
      </c>
      <c r="O550" s="1475">
        <v>1.2131478880844893</v>
      </c>
    </row>
    <row r="551" spans="11:15">
      <c r="K551" s="1472">
        <v>42608</v>
      </c>
      <c r="L551" s="1473" t="s">
        <v>2127</v>
      </c>
      <c r="M551" s="1474">
        <v>5.2531000000000001E-2</v>
      </c>
      <c r="N551" s="1475">
        <v>1.2137851668015789</v>
      </c>
      <c r="O551" s="1475">
        <v>1.2137851668015789</v>
      </c>
    </row>
    <row r="552" spans="11:15">
      <c r="K552" s="1472">
        <v>42609</v>
      </c>
      <c r="L552" s="1473"/>
      <c r="M552" s="1474">
        <v>0</v>
      </c>
      <c r="N552" s="1475">
        <v>1.2137851668015789</v>
      </c>
      <c r="O552" s="1475">
        <v>1.2137851668015789</v>
      </c>
    </row>
    <row r="553" spans="11:15">
      <c r="K553" s="1472">
        <v>42610</v>
      </c>
      <c r="L553" s="1473"/>
      <c r="M553" s="1474">
        <v>0</v>
      </c>
      <c r="N553" s="1475">
        <v>1.2137851668015789</v>
      </c>
      <c r="O553" s="1475">
        <v>1.2137851668015789</v>
      </c>
    </row>
    <row r="554" spans="11:15">
      <c r="K554" s="1472">
        <v>42611</v>
      </c>
      <c r="L554" s="1473" t="s">
        <v>2127</v>
      </c>
      <c r="M554" s="1474">
        <v>5.2531000000000001E-2</v>
      </c>
      <c r="N554" s="1475">
        <v>1.2144227802875514</v>
      </c>
      <c r="O554" s="1475">
        <v>1.2144227802875514</v>
      </c>
    </row>
    <row r="555" spans="11:15">
      <c r="K555" s="1472">
        <v>42612</v>
      </c>
      <c r="L555" s="1473" t="s">
        <v>2127</v>
      </c>
      <c r="M555" s="1474">
        <v>5.2531000000000001E-2</v>
      </c>
      <c r="N555" s="1475">
        <v>1.2150607287182642</v>
      </c>
      <c r="O555" s="1475">
        <v>1.2150607287182642</v>
      </c>
    </row>
    <row r="556" spans="11:15">
      <c r="K556" s="1472">
        <v>42613</v>
      </c>
      <c r="L556" s="1473" t="s">
        <v>2127</v>
      </c>
      <c r="M556" s="1474">
        <v>5.2531000000000001E-2</v>
      </c>
      <c r="N556" s="1475">
        <v>1.2156990122696671</v>
      </c>
      <c r="O556" s="1475">
        <v>1.2156990122696671</v>
      </c>
    </row>
    <row r="557" spans="11:15">
      <c r="K557" s="1472">
        <v>42614</v>
      </c>
      <c r="L557" s="1473" t="s">
        <v>2127</v>
      </c>
      <c r="M557" s="1474">
        <v>5.2531000000000001E-2</v>
      </c>
      <c r="N557" s="1475">
        <v>1.2163376311178025</v>
      </c>
      <c r="O557" s="1475">
        <v>1.2163376311178025</v>
      </c>
    </row>
    <row r="558" spans="11:15">
      <c r="K558" s="1472">
        <v>42615</v>
      </c>
      <c r="L558" s="1473" t="s">
        <v>2127</v>
      </c>
      <c r="M558" s="1474">
        <v>5.2531000000000001E-2</v>
      </c>
      <c r="N558" s="1475">
        <v>1.216976585438805</v>
      </c>
      <c r="O558" s="1475">
        <v>1.216976585438805</v>
      </c>
    </row>
    <row r="559" spans="11:15">
      <c r="K559" s="1472">
        <v>42616</v>
      </c>
      <c r="L559" s="1473"/>
      <c r="M559" s="1474">
        <v>0</v>
      </c>
      <c r="N559" s="1475">
        <v>1.216976585438805</v>
      </c>
      <c r="O559" s="1475">
        <v>1.216976585438805</v>
      </c>
    </row>
    <row r="560" spans="11:15">
      <c r="K560" s="1472">
        <v>42617</v>
      </c>
      <c r="L560" s="1473"/>
      <c r="M560" s="1474">
        <v>0</v>
      </c>
      <c r="N560" s="1475">
        <v>1.216976585438805</v>
      </c>
      <c r="O560" s="1475">
        <v>1.216976585438805</v>
      </c>
    </row>
    <row r="561" spans="11:15">
      <c r="K561" s="1472">
        <v>42618</v>
      </c>
      <c r="L561" s="1473" t="s">
        <v>2127</v>
      </c>
      <c r="M561" s="1474">
        <v>5.2531000000000001E-2</v>
      </c>
      <c r="N561" s="1475">
        <v>1.2176158754089019</v>
      </c>
      <c r="O561" s="1475">
        <v>1.2176158754089019</v>
      </c>
    </row>
    <row r="562" spans="11:15">
      <c r="K562" s="1472">
        <v>42619</v>
      </c>
      <c r="L562" s="1473" t="s">
        <v>2127</v>
      </c>
      <c r="M562" s="1474">
        <v>5.2531000000000001E-2</v>
      </c>
      <c r="N562" s="1475">
        <v>1.2182555012044129</v>
      </c>
      <c r="O562" s="1475">
        <v>1.2182555012044129</v>
      </c>
    </row>
    <row r="563" spans="11:15">
      <c r="K563" s="1472">
        <v>42620</v>
      </c>
      <c r="L563" s="1473"/>
      <c r="M563" s="1474">
        <v>0</v>
      </c>
      <c r="N563" s="1475">
        <v>1.2182555012044129</v>
      </c>
      <c r="O563" s="1475">
        <v>1.2182555012044129</v>
      </c>
    </row>
    <row r="564" spans="11:15">
      <c r="K564" s="1472">
        <v>42621</v>
      </c>
      <c r="L564" s="1473" t="s">
        <v>2127</v>
      </c>
      <c r="M564" s="1474">
        <v>5.2531000000000001E-2</v>
      </c>
      <c r="N564" s="1475">
        <v>1.2188954630017506</v>
      </c>
      <c r="O564" s="1475">
        <v>1.2188954630017506</v>
      </c>
    </row>
    <row r="565" spans="11:15">
      <c r="K565" s="1472">
        <v>42622</v>
      </c>
      <c r="L565" s="1473" t="s">
        <v>2127</v>
      </c>
      <c r="M565" s="1474">
        <v>5.2531000000000001E-2</v>
      </c>
      <c r="N565" s="1475">
        <v>1.21953576097742</v>
      </c>
      <c r="O565" s="1475">
        <v>1.21953576097742</v>
      </c>
    </row>
    <row r="566" spans="11:15">
      <c r="K566" s="1472">
        <v>42623</v>
      </c>
      <c r="L566" s="1473"/>
      <c r="M566" s="1474">
        <v>0</v>
      </c>
      <c r="N566" s="1475">
        <v>1.21953576097742</v>
      </c>
      <c r="O566" s="1475">
        <v>1.21953576097742</v>
      </c>
    </row>
    <row r="567" spans="11:15">
      <c r="K567" s="1472">
        <v>42624</v>
      </c>
      <c r="L567" s="1473"/>
      <c r="M567" s="1474">
        <v>0</v>
      </c>
      <c r="N567" s="1475">
        <v>1.21953576097742</v>
      </c>
      <c r="O567" s="1475">
        <v>1.21953576097742</v>
      </c>
    </row>
    <row r="568" spans="11:15">
      <c r="K568" s="1472">
        <v>42625</v>
      </c>
      <c r="L568" s="1473" t="s">
        <v>2127</v>
      </c>
      <c r="M568" s="1474">
        <v>5.2531000000000001E-2</v>
      </c>
      <c r="N568" s="1475">
        <v>1.2201763953080191</v>
      </c>
      <c r="O568" s="1475">
        <v>1.2201763953080191</v>
      </c>
    </row>
    <row r="569" spans="11:15">
      <c r="K569" s="1472">
        <v>42626</v>
      </c>
      <c r="L569" s="1473" t="s">
        <v>2127</v>
      </c>
      <c r="M569" s="1474">
        <v>5.2531000000000001E-2</v>
      </c>
      <c r="N569" s="1475">
        <v>1.2208173661702384</v>
      </c>
      <c r="O569" s="1475">
        <v>1.2208173661702384</v>
      </c>
    </row>
    <row r="570" spans="11:15">
      <c r="K570" s="1472">
        <v>42627</v>
      </c>
      <c r="L570" s="1473" t="s">
        <v>2127</v>
      </c>
      <c r="M570" s="1474">
        <v>5.2531000000000001E-2</v>
      </c>
      <c r="N570" s="1475">
        <v>1.2214586737408613</v>
      </c>
      <c r="O570" s="1475">
        <v>1.2214586737408613</v>
      </c>
    </row>
    <row r="571" spans="11:15">
      <c r="K571" s="1472">
        <v>42628</v>
      </c>
      <c r="L571" s="1473" t="s">
        <v>2127</v>
      </c>
      <c r="M571" s="1474">
        <v>5.2531000000000001E-2</v>
      </c>
      <c r="N571" s="1475">
        <v>1.222100318196764</v>
      </c>
      <c r="O571" s="1475">
        <v>1.222100318196764</v>
      </c>
    </row>
    <row r="572" spans="11:15">
      <c r="K572" s="1472">
        <v>42629</v>
      </c>
      <c r="L572" s="1473" t="s">
        <v>2127</v>
      </c>
      <c r="M572" s="1474">
        <v>5.2531000000000001E-2</v>
      </c>
      <c r="N572" s="1475">
        <v>1.222742299714916</v>
      </c>
      <c r="O572" s="1475">
        <v>1.222742299714916</v>
      </c>
    </row>
    <row r="573" spans="11:15">
      <c r="K573" s="1472">
        <v>42630</v>
      </c>
      <c r="L573" s="1473"/>
      <c r="M573" s="1474">
        <v>0</v>
      </c>
      <c r="N573" s="1475">
        <v>1.222742299714916</v>
      </c>
      <c r="O573" s="1475">
        <v>1.222742299714916</v>
      </c>
    </row>
    <row r="574" spans="11:15">
      <c r="K574" s="1472">
        <v>42631</v>
      </c>
      <c r="L574" s="1473"/>
      <c r="M574" s="1474">
        <v>0</v>
      </c>
      <c r="N574" s="1475">
        <v>1.222742299714916</v>
      </c>
      <c r="O574" s="1475">
        <v>1.222742299714916</v>
      </c>
    </row>
    <row r="575" spans="11:15">
      <c r="K575" s="1472">
        <v>42632</v>
      </c>
      <c r="L575" s="1473" t="s">
        <v>2127</v>
      </c>
      <c r="M575" s="1474">
        <v>5.2531000000000001E-2</v>
      </c>
      <c r="N575" s="1475">
        <v>1.2233846184723793</v>
      </c>
      <c r="O575" s="1475">
        <v>1.2233846184723793</v>
      </c>
    </row>
    <row r="576" spans="11:15">
      <c r="K576" s="1472">
        <v>42633</v>
      </c>
      <c r="L576" s="1473" t="s">
        <v>2127</v>
      </c>
      <c r="M576" s="1474">
        <v>5.2531000000000001E-2</v>
      </c>
      <c r="N576" s="1475">
        <v>1.224027274646309</v>
      </c>
      <c r="O576" s="1475">
        <v>1.224027274646309</v>
      </c>
    </row>
    <row r="577" spans="11:15">
      <c r="K577" s="1472">
        <v>42634</v>
      </c>
      <c r="L577" s="1473" t="s">
        <v>2127</v>
      </c>
      <c r="M577" s="1474">
        <v>5.2531000000000001E-2</v>
      </c>
      <c r="N577" s="1475">
        <v>1.2246702684139534</v>
      </c>
      <c r="O577" s="1475">
        <v>1.2246702684139534</v>
      </c>
    </row>
    <row r="578" spans="11:15">
      <c r="K578" s="1472">
        <v>42635</v>
      </c>
      <c r="L578" s="1473" t="s">
        <v>2127</v>
      </c>
      <c r="M578" s="1474">
        <v>5.2531000000000001E-2</v>
      </c>
      <c r="N578" s="1475">
        <v>1.2253135999526539</v>
      </c>
      <c r="O578" s="1475">
        <v>1.2253135999526539</v>
      </c>
    </row>
    <row r="579" spans="11:15">
      <c r="K579" s="1472">
        <v>42636</v>
      </c>
      <c r="L579" s="1473" t="s">
        <v>2127</v>
      </c>
      <c r="M579" s="1474">
        <v>5.2531000000000001E-2</v>
      </c>
      <c r="N579" s="1475">
        <v>1.2259572694398451</v>
      </c>
      <c r="O579" s="1475">
        <v>1.2259572694398451</v>
      </c>
    </row>
    <row r="580" spans="11:15">
      <c r="K580" s="1472">
        <v>42637</v>
      </c>
      <c r="L580" s="1473"/>
      <c r="M580" s="1474">
        <v>0</v>
      </c>
      <c r="N580" s="1475">
        <v>1.2259572694398451</v>
      </c>
      <c r="O580" s="1475">
        <v>1.2259572694398451</v>
      </c>
    </row>
    <row r="581" spans="11:15">
      <c r="K581" s="1472">
        <v>42638</v>
      </c>
      <c r="L581" s="1473"/>
      <c r="M581" s="1474">
        <v>0</v>
      </c>
      <c r="N581" s="1475">
        <v>1.2259572694398451</v>
      </c>
      <c r="O581" s="1475">
        <v>1.2259572694398451</v>
      </c>
    </row>
    <row r="582" spans="11:15">
      <c r="K582" s="1472">
        <v>42639</v>
      </c>
      <c r="L582" s="1473" t="s">
        <v>2127</v>
      </c>
      <c r="M582" s="1474">
        <v>5.2531000000000001E-2</v>
      </c>
      <c r="N582" s="1475">
        <v>1.2266012770530546</v>
      </c>
      <c r="O582" s="1475">
        <v>1.2266012770530546</v>
      </c>
    </row>
    <row r="583" spans="11:15">
      <c r="K583" s="1472">
        <v>42640</v>
      </c>
      <c r="L583" s="1473" t="s">
        <v>2127</v>
      </c>
      <c r="M583" s="1474">
        <v>5.2531000000000001E-2</v>
      </c>
      <c r="N583" s="1475">
        <v>1.2272456229699034</v>
      </c>
      <c r="O583" s="1475">
        <v>1.2272456229699034</v>
      </c>
    </row>
    <row r="584" spans="11:15">
      <c r="K584" s="1472">
        <v>42641</v>
      </c>
      <c r="L584" s="1473" t="s">
        <v>2127</v>
      </c>
      <c r="M584" s="1474">
        <v>5.2531000000000001E-2</v>
      </c>
      <c r="N584" s="1475">
        <v>1.2278903073681058</v>
      </c>
      <c r="O584" s="1475">
        <v>1.2278903073681058</v>
      </c>
    </row>
    <row r="585" spans="11:15">
      <c r="K585" s="1472">
        <v>42642</v>
      </c>
      <c r="L585" s="1473" t="s">
        <v>2127</v>
      </c>
      <c r="M585" s="1474">
        <v>5.2531000000000001E-2</v>
      </c>
      <c r="N585" s="1475">
        <v>1.2285353304254694</v>
      </c>
      <c r="O585" s="1475">
        <v>1.2285353304254694</v>
      </c>
    </row>
    <row r="586" spans="11:15">
      <c r="K586" s="1472">
        <v>42643</v>
      </c>
      <c r="L586" s="1473" t="s">
        <v>2127</v>
      </c>
      <c r="M586" s="1474">
        <v>5.2531000000000001E-2</v>
      </c>
      <c r="N586" s="1475">
        <v>1.2291806923198951</v>
      </c>
      <c r="O586" s="1475">
        <v>1.2291806923198951</v>
      </c>
    </row>
    <row r="587" spans="11:15">
      <c r="K587" s="1472">
        <v>42644</v>
      </c>
      <c r="L587" s="1473"/>
      <c r="M587" s="1474">
        <v>0</v>
      </c>
      <c r="N587" s="1475">
        <v>1.2291806923198951</v>
      </c>
      <c r="O587" s="1475">
        <v>1.2291806923198951</v>
      </c>
    </row>
    <row r="588" spans="11:15">
      <c r="K588" s="1472">
        <v>42645</v>
      </c>
      <c r="L588" s="1473"/>
      <c r="M588" s="1474">
        <v>0</v>
      </c>
      <c r="N588" s="1475">
        <v>1.2291806923198951</v>
      </c>
      <c r="O588" s="1475">
        <v>1.2291806923198951</v>
      </c>
    </row>
    <row r="589" spans="11:15">
      <c r="K589" s="1472">
        <v>42646</v>
      </c>
      <c r="L589" s="1473" t="s">
        <v>2127</v>
      </c>
      <c r="M589" s="1474">
        <v>5.2531000000000001E-2</v>
      </c>
      <c r="N589" s="1475">
        <v>1.2298263932293776</v>
      </c>
      <c r="O589" s="1475">
        <v>1.2298263932293776</v>
      </c>
    </row>
    <row r="590" spans="11:15">
      <c r="K590" s="1472">
        <v>42647</v>
      </c>
      <c r="L590" s="1473" t="s">
        <v>2127</v>
      </c>
      <c r="M590" s="1474">
        <v>5.2531000000000001E-2</v>
      </c>
      <c r="N590" s="1475">
        <v>1.230472433332005</v>
      </c>
      <c r="O590" s="1475">
        <v>1.230472433332005</v>
      </c>
    </row>
    <row r="591" spans="11:15">
      <c r="K591" s="1472">
        <v>42648</v>
      </c>
      <c r="L591" s="1473" t="s">
        <v>2127</v>
      </c>
      <c r="M591" s="1474">
        <v>5.2531000000000001E-2</v>
      </c>
      <c r="N591" s="1475">
        <v>1.2311188128059587</v>
      </c>
      <c r="O591" s="1475">
        <v>1.2311188128059587</v>
      </c>
    </row>
    <row r="592" spans="11:15">
      <c r="K592" s="1472">
        <v>42649</v>
      </c>
      <c r="L592" s="1473" t="s">
        <v>2127</v>
      </c>
      <c r="M592" s="1474">
        <v>5.2531000000000001E-2</v>
      </c>
      <c r="N592" s="1475">
        <v>1.2317655318295138</v>
      </c>
      <c r="O592" s="1475">
        <v>1.2317655318295138</v>
      </c>
    </row>
    <row r="593" spans="11:15">
      <c r="K593" s="1472">
        <v>42650</v>
      </c>
      <c r="L593" s="1473" t="s">
        <v>2127</v>
      </c>
      <c r="M593" s="1474">
        <v>5.2531000000000001E-2</v>
      </c>
      <c r="N593" s="1475">
        <v>1.232412590581039</v>
      </c>
      <c r="O593" s="1475">
        <v>1.232412590581039</v>
      </c>
    </row>
    <row r="594" spans="11:15">
      <c r="K594" s="1472">
        <v>42651</v>
      </c>
      <c r="L594" s="1473"/>
      <c r="M594" s="1474">
        <v>0</v>
      </c>
      <c r="N594" s="1475">
        <v>1.232412590581039</v>
      </c>
      <c r="O594" s="1475">
        <v>1.232412590581039</v>
      </c>
    </row>
    <row r="595" spans="11:15">
      <c r="K595" s="1472">
        <v>42652</v>
      </c>
      <c r="L595" s="1473"/>
      <c r="M595" s="1474">
        <v>0</v>
      </c>
      <c r="N595" s="1475">
        <v>1.232412590581039</v>
      </c>
      <c r="O595" s="1475">
        <v>1.232412590581039</v>
      </c>
    </row>
    <row r="596" spans="11:15">
      <c r="K596" s="1472">
        <v>42653</v>
      </c>
      <c r="L596" s="1473" t="s">
        <v>2127</v>
      </c>
      <c r="M596" s="1474">
        <v>5.2531000000000001E-2</v>
      </c>
      <c r="N596" s="1475">
        <v>1.2330599892389971</v>
      </c>
      <c r="O596" s="1475">
        <v>1.2330599892389971</v>
      </c>
    </row>
    <row r="597" spans="11:15">
      <c r="K597" s="1472">
        <v>42654</v>
      </c>
      <c r="L597" s="1473" t="s">
        <v>2127</v>
      </c>
      <c r="M597" s="1474">
        <v>5.2531000000000001E-2</v>
      </c>
      <c r="N597" s="1475">
        <v>1.2337077279819442</v>
      </c>
      <c r="O597" s="1475">
        <v>1.2337077279819442</v>
      </c>
    </row>
    <row r="598" spans="11:15">
      <c r="K598" s="1472">
        <v>42655</v>
      </c>
      <c r="L598" s="1473"/>
      <c r="M598" s="1474">
        <v>0</v>
      </c>
      <c r="N598" s="1475">
        <v>1.2337077279819442</v>
      </c>
      <c r="O598" s="1475">
        <v>1.2337077279819442</v>
      </c>
    </row>
    <row r="599" spans="11:15">
      <c r="K599" s="1472">
        <v>42656</v>
      </c>
      <c r="L599" s="1473" t="s">
        <v>2127</v>
      </c>
      <c r="M599" s="1474">
        <v>5.2531000000000001E-2</v>
      </c>
      <c r="N599" s="1475">
        <v>1.2343558069885303</v>
      </c>
      <c r="O599" s="1475">
        <v>1.2343558069885303</v>
      </c>
    </row>
    <row r="600" spans="11:15">
      <c r="K600" s="1472">
        <v>42657</v>
      </c>
      <c r="L600" s="1473" t="s">
        <v>2127</v>
      </c>
      <c r="M600" s="1474">
        <v>5.2531000000000001E-2</v>
      </c>
      <c r="N600" s="1475">
        <v>1.2350042264374994</v>
      </c>
      <c r="O600" s="1475">
        <v>1.2350042264374994</v>
      </c>
    </row>
    <row r="601" spans="11:15">
      <c r="K601" s="1472">
        <v>42658</v>
      </c>
      <c r="L601" s="1473"/>
      <c r="M601" s="1474">
        <v>0</v>
      </c>
      <c r="N601" s="1475">
        <v>1.2350042264374994</v>
      </c>
      <c r="O601" s="1475">
        <v>1.2350042264374994</v>
      </c>
    </row>
    <row r="602" spans="11:15">
      <c r="K602" s="1472">
        <v>42659</v>
      </c>
      <c r="L602" s="1473"/>
      <c r="M602" s="1474">
        <v>0</v>
      </c>
      <c r="N602" s="1475">
        <v>1.2350042264374994</v>
      </c>
      <c r="O602" s="1475">
        <v>1.2350042264374994</v>
      </c>
    </row>
    <row r="603" spans="11:15">
      <c r="K603" s="1472">
        <v>42660</v>
      </c>
      <c r="L603" s="1473" t="s">
        <v>2127</v>
      </c>
      <c r="M603" s="1474">
        <v>5.2531000000000001E-2</v>
      </c>
      <c r="N603" s="1475">
        <v>1.2356529865076893</v>
      </c>
      <c r="O603" s="1475">
        <v>1.2356529865076893</v>
      </c>
    </row>
    <row r="604" spans="11:15">
      <c r="K604" s="1472">
        <v>42661</v>
      </c>
      <c r="L604" s="1473" t="s">
        <v>2127</v>
      </c>
      <c r="M604" s="1474">
        <v>5.2531000000000001E-2</v>
      </c>
      <c r="N604" s="1475">
        <v>1.2363020873780317</v>
      </c>
      <c r="O604" s="1475">
        <v>1.2363020873780317</v>
      </c>
    </row>
    <row r="605" spans="11:15">
      <c r="K605" s="1472">
        <v>42662</v>
      </c>
      <c r="L605" s="1473" t="s">
        <v>2127</v>
      </c>
      <c r="M605" s="1474">
        <v>5.2531000000000001E-2</v>
      </c>
      <c r="N605" s="1475">
        <v>1.2369515292275524</v>
      </c>
      <c r="O605" s="1475">
        <v>1.2369515292275524</v>
      </c>
    </row>
    <row r="606" spans="11:15">
      <c r="K606" s="1472">
        <v>42663</v>
      </c>
      <c r="L606" s="1473" t="s">
        <v>2127</v>
      </c>
      <c r="M606" s="1474">
        <v>5.1659999999999998E-2</v>
      </c>
      <c r="N606" s="1475">
        <v>1.2375905383875514</v>
      </c>
      <c r="O606" s="1475">
        <v>1.2376013122353708</v>
      </c>
    </row>
    <row r="607" spans="11:15">
      <c r="K607" s="1472">
        <v>42664</v>
      </c>
      <c r="L607" s="1473" t="s">
        <v>2127</v>
      </c>
      <c r="M607" s="1474">
        <v>5.1659999999999998E-2</v>
      </c>
      <c r="N607" s="1475">
        <v>1.2382298776596825</v>
      </c>
      <c r="O607" s="1475">
        <v>1.2382514365807011</v>
      </c>
    </row>
    <row r="608" spans="11:15">
      <c r="K608" s="1472">
        <v>42665</v>
      </c>
      <c r="L608" s="1473"/>
      <c r="M608" s="1474">
        <v>0</v>
      </c>
      <c r="N608" s="1475">
        <v>1.2382298776596825</v>
      </c>
      <c r="O608" s="1475">
        <v>1.2382514365807011</v>
      </c>
    </row>
    <row r="609" spans="11:15">
      <c r="K609" s="1472">
        <v>42666</v>
      </c>
      <c r="L609" s="1473"/>
      <c r="M609" s="1474">
        <v>0</v>
      </c>
      <c r="N609" s="1475">
        <v>1.2382298776596825</v>
      </c>
      <c r="O609" s="1475">
        <v>1.2382514365807011</v>
      </c>
    </row>
    <row r="610" spans="11:15">
      <c r="K610" s="1472">
        <v>42667</v>
      </c>
      <c r="L610" s="1473" t="s">
        <v>2127</v>
      </c>
      <c r="M610" s="1474">
        <v>5.1659999999999998E-2</v>
      </c>
      <c r="N610" s="1475">
        <v>1.2388695472144815</v>
      </c>
      <c r="O610" s="1475">
        <v>1.2389019024428514</v>
      </c>
    </row>
    <row r="611" spans="11:15">
      <c r="K611" s="1472">
        <v>42668</v>
      </c>
      <c r="L611" s="1473" t="s">
        <v>2127</v>
      </c>
      <c r="M611" s="1474">
        <v>5.1659999999999998E-2</v>
      </c>
      <c r="N611" s="1475">
        <v>1.2395095472225726</v>
      </c>
      <c r="O611" s="1475">
        <v>1.2395527100012236</v>
      </c>
    </row>
    <row r="612" spans="11:15">
      <c r="K612" s="1472">
        <v>42669</v>
      </c>
      <c r="L612" s="1473" t="s">
        <v>2127</v>
      </c>
      <c r="M612" s="1474">
        <v>5.1659999999999998E-2</v>
      </c>
      <c r="N612" s="1475">
        <v>1.2401498778546678</v>
      </c>
      <c r="O612" s="1475">
        <v>1.2402038594353144</v>
      </c>
    </row>
    <row r="613" spans="11:15">
      <c r="K613" s="1472">
        <v>42670</v>
      </c>
      <c r="L613" s="1473" t="s">
        <v>2127</v>
      </c>
      <c r="M613" s="1474">
        <v>5.1659999999999998E-2</v>
      </c>
      <c r="N613" s="1475">
        <v>1.2407905392815677</v>
      </c>
      <c r="O613" s="1475">
        <v>1.2408553509247144</v>
      </c>
    </row>
    <row r="614" spans="11:15">
      <c r="K614" s="1472">
        <v>42671</v>
      </c>
      <c r="L614" s="1473" t="s">
        <v>2127</v>
      </c>
      <c r="M614" s="1474">
        <v>5.1659999999999998E-2</v>
      </c>
      <c r="N614" s="1475">
        <v>1.2414315316741606</v>
      </c>
      <c r="O614" s="1475">
        <v>1.2415071846491088</v>
      </c>
    </row>
    <row r="615" spans="11:15">
      <c r="K615" s="1472">
        <v>42672</v>
      </c>
      <c r="L615" s="1473"/>
      <c r="M615" s="1474">
        <v>0</v>
      </c>
      <c r="N615" s="1475">
        <v>1.2414315316741606</v>
      </c>
      <c r="O615" s="1475">
        <v>1.2415071846491088</v>
      </c>
    </row>
    <row r="616" spans="11:15">
      <c r="K616" s="1472">
        <v>42673</v>
      </c>
      <c r="L616" s="1473"/>
      <c r="M616" s="1474">
        <v>0</v>
      </c>
      <c r="N616" s="1475">
        <v>1.2414315316741606</v>
      </c>
      <c r="O616" s="1475">
        <v>1.2415071846491088</v>
      </c>
    </row>
    <row r="617" spans="11:15">
      <c r="K617" s="1472">
        <v>42674</v>
      </c>
      <c r="L617" s="1473" t="s">
        <v>2127</v>
      </c>
      <c r="M617" s="1474">
        <v>5.1659999999999998E-2</v>
      </c>
      <c r="N617" s="1475">
        <v>1.2420728552034237</v>
      </c>
      <c r="O617" s="1475">
        <v>1.2421593607882768</v>
      </c>
    </row>
    <row r="618" spans="11:15">
      <c r="K618" s="1472">
        <v>42675</v>
      </c>
      <c r="L618" s="1473" t="s">
        <v>2127</v>
      </c>
      <c r="M618" s="1474">
        <v>5.1659999999999998E-2</v>
      </c>
      <c r="N618" s="1475">
        <v>1.242714510040422</v>
      </c>
      <c r="O618" s="1475">
        <v>1.2428118795220926</v>
      </c>
    </row>
    <row r="619" spans="11:15">
      <c r="K619" s="1472">
        <v>42676</v>
      </c>
      <c r="L619" s="1473"/>
      <c r="M619" s="1474">
        <v>0</v>
      </c>
      <c r="N619" s="1475">
        <v>1.242714510040422</v>
      </c>
      <c r="O619" s="1475">
        <v>1.2428118795220926</v>
      </c>
    </row>
    <row r="620" spans="11:15">
      <c r="K620" s="1472">
        <v>42677</v>
      </c>
      <c r="L620" s="1473" t="s">
        <v>2127</v>
      </c>
      <c r="M620" s="1474">
        <v>5.1659999999999998E-2</v>
      </c>
      <c r="N620" s="1475">
        <v>1.2433564963563091</v>
      </c>
      <c r="O620" s="1475">
        <v>1.2434647410305244</v>
      </c>
    </row>
    <row r="621" spans="11:15">
      <c r="K621" s="1472">
        <v>42678</v>
      </c>
      <c r="L621" s="1473" t="s">
        <v>2127</v>
      </c>
      <c r="M621" s="1474">
        <v>5.1659999999999998E-2</v>
      </c>
      <c r="N621" s="1475">
        <v>1.2439988143223268</v>
      </c>
      <c r="O621" s="1475">
        <v>1.2441179454936351</v>
      </c>
    </row>
    <row r="622" spans="11:15">
      <c r="K622" s="1472">
        <v>42679</v>
      </c>
      <c r="L622" s="1473"/>
      <c r="M622" s="1474">
        <v>0</v>
      </c>
      <c r="N622" s="1475">
        <v>1.2439988143223268</v>
      </c>
      <c r="O622" s="1475">
        <v>1.2441179454936351</v>
      </c>
    </row>
    <row r="623" spans="11:15">
      <c r="K623" s="1472">
        <v>42680</v>
      </c>
      <c r="L623" s="1473"/>
      <c r="M623" s="1474">
        <v>0</v>
      </c>
      <c r="N623" s="1475">
        <v>1.2439988143223268</v>
      </c>
      <c r="O623" s="1475">
        <v>1.2441179454936351</v>
      </c>
    </row>
    <row r="624" spans="11:15">
      <c r="K624" s="1472">
        <v>42681</v>
      </c>
      <c r="L624" s="1473" t="s">
        <v>2127</v>
      </c>
      <c r="M624" s="1474">
        <v>5.1659999999999998E-2</v>
      </c>
      <c r="N624" s="1475">
        <v>1.2446414641098058</v>
      </c>
      <c r="O624" s="1475">
        <v>1.2447714930915823</v>
      </c>
    </row>
    <row r="625" spans="11:15">
      <c r="K625" s="1472">
        <v>42682</v>
      </c>
      <c r="L625" s="1473" t="s">
        <v>2127</v>
      </c>
      <c r="M625" s="1474">
        <v>5.1659999999999998E-2</v>
      </c>
      <c r="N625" s="1475">
        <v>1.2452844458901651</v>
      </c>
      <c r="O625" s="1475">
        <v>1.2454253840046183</v>
      </c>
    </row>
    <row r="626" spans="11:15">
      <c r="K626" s="1472">
        <v>42683</v>
      </c>
      <c r="L626" s="1473" t="s">
        <v>2127</v>
      </c>
      <c r="M626" s="1474">
        <v>5.1659999999999998E-2</v>
      </c>
      <c r="N626" s="1475">
        <v>1.2459277598349121</v>
      </c>
      <c r="O626" s="1475">
        <v>1.2460796184130898</v>
      </c>
    </row>
    <row r="627" spans="11:15">
      <c r="K627" s="1472">
        <v>42684</v>
      </c>
      <c r="L627" s="1473" t="s">
        <v>2127</v>
      </c>
      <c r="M627" s="1474">
        <v>5.1659999999999998E-2</v>
      </c>
      <c r="N627" s="1475">
        <v>1.246571406115643</v>
      </c>
      <c r="O627" s="1475">
        <v>1.2467341964974383</v>
      </c>
    </row>
    <row r="628" spans="11:15">
      <c r="K628" s="1472">
        <v>42685</v>
      </c>
      <c r="L628" s="1473" t="s">
        <v>2127</v>
      </c>
      <c r="M628" s="1474">
        <v>5.1659999999999998E-2</v>
      </c>
      <c r="N628" s="1475">
        <v>1.2472153849040424</v>
      </c>
      <c r="O628" s="1475">
        <v>1.2473891184382004</v>
      </c>
    </row>
    <row r="629" spans="11:15">
      <c r="K629" s="1472">
        <v>42686</v>
      </c>
      <c r="L629" s="1473"/>
      <c r="M629" s="1474">
        <v>0</v>
      </c>
      <c r="N629" s="1475">
        <v>1.2472153849040424</v>
      </c>
      <c r="O629" s="1475">
        <v>1.2473891184382004</v>
      </c>
    </row>
    <row r="630" spans="11:15">
      <c r="K630" s="1472">
        <v>42687</v>
      </c>
      <c r="L630" s="1473"/>
      <c r="M630" s="1474">
        <v>0</v>
      </c>
      <c r="N630" s="1475">
        <v>1.2472153849040424</v>
      </c>
      <c r="O630" s="1475">
        <v>1.2473891184382004</v>
      </c>
    </row>
    <row r="631" spans="11:15">
      <c r="K631" s="1472">
        <v>42688</v>
      </c>
      <c r="L631" s="1473" t="s">
        <v>2127</v>
      </c>
      <c r="M631" s="1474">
        <v>5.1659999999999998E-2</v>
      </c>
      <c r="N631" s="1475">
        <v>1.247859696371884</v>
      </c>
      <c r="O631" s="1475">
        <v>1.2480443844160072</v>
      </c>
    </row>
    <row r="632" spans="11:15">
      <c r="K632" s="1472">
        <v>42689</v>
      </c>
      <c r="L632" s="1473"/>
      <c r="M632" s="1474">
        <v>0</v>
      </c>
      <c r="N632" s="1475">
        <v>1.247859696371884</v>
      </c>
      <c r="O632" s="1475">
        <v>1.2480443844160072</v>
      </c>
    </row>
    <row r="633" spans="11:15">
      <c r="K633" s="1472">
        <v>42690</v>
      </c>
      <c r="L633" s="1473" t="s">
        <v>2127</v>
      </c>
      <c r="M633" s="1474">
        <v>5.1659999999999998E-2</v>
      </c>
      <c r="N633" s="1475">
        <v>1.2485043406910299</v>
      </c>
      <c r="O633" s="1475">
        <v>1.2486999946115847</v>
      </c>
    </row>
    <row r="634" spans="11:15">
      <c r="K634" s="1472">
        <v>42691</v>
      </c>
      <c r="L634" s="1473" t="s">
        <v>2127</v>
      </c>
      <c r="M634" s="1474">
        <v>5.1659999999999998E-2</v>
      </c>
      <c r="N634" s="1475">
        <v>1.249149318033431</v>
      </c>
      <c r="O634" s="1475">
        <v>1.249355949205754</v>
      </c>
    </row>
    <row r="635" spans="11:15">
      <c r="K635" s="1472">
        <v>42692</v>
      </c>
      <c r="L635" s="1473" t="s">
        <v>2127</v>
      </c>
      <c r="M635" s="1474">
        <v>5.1659999999999998E-2</v>
      </c>
      <c r="N635" s="1475">
        <v>1.2497946285711272</v>
      </c>
      <c r="O635" s="1475">
        <v>1.2500122483794314</v>
      </c>
    </row>
    <row r="636" spans="11:15">
      <c r="K636" s="1472">
        <v>42693</v>
      </c>
      <c r="L636" s="1473"/>
      <c r="M636" s="1474">
        <v>0</v>
      </c>
      <c r="N636" s="1475">
        <v>1.2497946285711272</v>
      </c>
      <c r="O636" s="1475">
        <v>1.2500122483794314</v>
      </c>
    </row>
    <row r="637" spans="11:15">
      <c r="K637" s="1472">
        <v>42694</v>
      </c>
      <c r="L637" s="1473"/>
      <c r="M637" s="1474">
        <v>0</v>
      </c>
      <c r="N637" s="1475">
        <v>1.2497946285711272</v>
      </c>
      <c r="O637" s="1475">
        <v>1.2500122483794314</v>
      </c>
    </row>
    <row r="638" spans="11:15">
      <c r="K638" s="1472">
        <v>42695</v>
      </c>
      <c r="L638" s="1473" t="s">
        <v>2127</v>
      </c>
      <c r="M638" s="1474">
        <v>5.1659999999999998E-2</v>
      </c>
      <c r="N638" s="1475">
        <v>1.2504402724762471</v>
      </c>
      <c r="O638" s="1475">
        <v>1.2506688923136275</v>
      </c>
    </row>
    <row r="639" spans="11:15">
      <c r="K639" s="1472">
        <v>42696</v>
      </c>
      <c r="L639" s="1473" t="s">
        <v>2127</v>
      </c>
      <c r="M639" s="1474">
        <v>5.1659999999999998E-2</v>
      </c>
      <c r="N639" s="1475">
        <v>1.2510862499210085</v>
      </c>
      <c r="O639" s="1475">
        <v>1.2513258811894488</v>
      </c>
    </row>
    <row r="640" spans="11:15">
      <c r="K640" s="1472">
        <v>42697</v>
      </c>
      <c r="L640" s="1473" t="s">
        <v>2127</v>
      </c>
      <c r="M640" s="1474">
        <v>5.1659999999999998E-2</v>
      </c>
      <c r="N640" s="1475">
        <v>1.2517325610777177</v>
      </c>
      <c r="O640" s="1475">
        <v>1.2519832151880963</v>
      </c>
    </row>
    <row r="641" spans="11:15">
      <c r="K641" s="1472">
        <v>42698</v>
      </c>
      <c r="L641" s="1473" t="s">
        <v>2127</v>
      </c>
      <c r="M641" s="1474">
        <v>5.1659999999999998E-2</v>
      </c>
      <c r="N641" s="1475">
        <v>1.2523792061187706</v>
      </c>
      <c r="O641" s="1475">
        <v>1.2526408944908667</v>
      </c>
    </row>
    <row r="642" spans="11:15">
      <c r="K642" s="1472">
        <v>42699</v>
      </c>
      <c r="L642" s="1473" t="s">
        <v>2127</v>
      </c>
      <c r="M642" s="1474">
        <v>5.1659999999999998E-2</v>
      </c>
      <c r="N642" s="1475">
        <v>1.2530261852166518</v>
      </c>
      <c r="O642" s="1475">
        <v>1.2532989192791517</v>
      </c>
    </row>
    <row r="643" spans="11:15">
      <c r="K643" s="1472">
        <v>42700</v>
      </c>
      <c r="L643" s="1473"/>
      <c r="M643" s="1474">
        <v>0</v>
      </c>
      <c r="N643" s="1475">
        <v>1.2530261852166518</v>
      </c>
      <c r="O643" s="1475">
        <v>1.2532989192791517</v>
      </c>
    </row>
    <row r="644" spans="11:15">
      <c r="K644" s="1472">
        <v>42701</v>
      </c>
      <c r="L644" s="1473"/>
      <c r="M644" s="1474">
        <v>0</v>
      </c>
      <c r="N644" s="1475">
        <v>1.2530261852166518</v>
      </c>
      <c r="O644" s="1475">
        <v>1.2532989192791517</v>
      </c>
    </row>
    <row r="645" spans="11:15">
      <c r="K645" s="1472">
        <v>42702</v>
      </c>
      <c r="L645" s="1473" t="s">
        <v>2127</v>
      </c>
      <c r="M645" s="1474">
        <v>5.1659999999999998E-2</v>
      </c>
      <c r="N645" s="1475">
        <v>1.2536734985439348</v>
      </c>
      <c r="O645" s="1475">
        <v>1.2539572897344382</v>
      </c>
    </row>
    <row r="646" spans="11:15">
      <c r="K646" s="1472">
        <v>42703</v>
      </c>
      <c r="L646" s="1473" t="s">
        <v>2127</v>
      </c>
      <c r="M646" s="1474">
        <v>5.1659999999999998E-2</v>
      </c>
      <c r="N646" s="1475">
        <v>1.2543211462732828</v>
      </c>
      <c r="O646" s="1475">
        <v>1.2546160060383087</v>
      </c>
    </row>
    <row r="647" spans="11:15">
      <c r="K647" s="1472">
        <v>42704</v>
      </c>
      <c r="L647" s="1473" t="s">
        <v>2127</v>
      </c>
      <c r="M647" s="1474">
        <v>5.1659999999999998E-2</v>
      </c>
      <c r="N647" s="1475">
        <v>1.2549691285774478</v>
      </c>
      <c r="O647" s="1475">
        <v>1.2552750683724407</v>
      </c>
    </row>
    <row r="648" spans="11:15">
      <c r="K648" s="1472">
        <v>42705</v>
      </c>
      <c r="L648" s="1473" t="s">
        <v>2127</v>
      </c>
      <c r="M648" s="1474">
        <v>5.0788E-2</v>
      </c>
      <c r="N648" s="1475">
        <v>1.2556065022984697</v>
      </c>
      <c r="O648" s="1475">
        <v>1.2559344769186074</v>
      </c>
    </row>
    <row r="649" spans="11:15">
      <c r="K649" s="1472">
        <v>42706</v>
      </c>
      <c r="L649" s="1473" t="s">
        <v>2127</v>
      </c>
      <c r="M649" s="1474">
        <v>5.0788E-2</v>
      </c>
      <c r="N649" s="1475">
        <v>1.2562441997288571</v>
      </c>
      <c r="O649" s="1475">
        <v>1.2565942318586776</v>
      </c>
    </row>
    <row r="650" spans="11:15">
      <c r="K650" s="1472">
        <v>42707</v>
      </c>
      <c r="L650" s="1473"/>
      <c r="M650" s="1474">
        <v>0</v>
      </c>
      <c r="N650" s="1475">
        <v>1.2562441997288571</v>
      </c>
      <c r="O650" s="1475">
        <v>1.2565942318586776</v>
      </c>
    </row>
    <row r="651" spans="11:15">
      <c r="K651" s="1472">
        <v>42708</v>
      </c>
      <c r="L651" s="1473"/>
      <c r="M651" s="1474">
        <v>0</v>
      </c>
      <c r="N651" s="1475">
        <v>1.2562441997288571</v>
      </c>
      <c r="O651" s="1475">
        <v>1.2565942318586776</v>
      </c>
    </row>
    <row r="652" spans="11:15">
      <c r="K652" s="1472">
        <v>42709</v>
      </c>
      <c r="L652" s="1473" t="s">
        <v>2127</v>
      </c>
      <c r="M652" s="1474">
        <v>5.0788E-2</v>
      </c>
      <c r="N652" s="1475">
        <v>1.2568822210330155</v>
      </c>
      <c r="O652" s="1475">
        <v>1.2572543333746153</v>
      </c>
    </row>
    <row r="653" spans="11:15">
      <c r="K653" s="1472">
        <v>42710</v>
      </c>
      <c r="L653" s="1473" t="s">
        <v>2127</v>
      </c>
      <c r="M653" s="1474">
        <v>5.0788E-2</v>
      </c>
      <c r="N653" s="1475">
        <v>1.2575205663754339</v>
      </c>
      <c r="O653" s="1475">
        <v>1.2579147816484804</v>
      </c>
    </row>
    <row r="654" spans="11:15">
      <c r="K654" s="1472">
        <v>42711</v>
      </c>
      <c r="L654" s="1473" t="s">
        <v>2127</v>
      </c>
      <c r="M654" s="1474">
        <v>5.0788E-2</v>
      </c>
      <c r="N654" s="1475">
        <v>1.2581592359206846</v>
      </c>
      <c r="O654" s="1475">
        <v>1.258575576862428</v>
      </c>
    </row>
    <row r="655" spans="11:15">
      <c r="K655" s="1472">
        <v>42712</v>
      </c>
      <c r="L655" s="1473" t="s">
        <v>2127</v>
      </c>
      <c r="M655" s="1474">
        <v>5.0788E-2</v>
      </c>
      <c r="N655" s="1475">
        <v>1.2587982298334239</v>
      </c>
      <c r="O655" s="1475">
        <v>1.2592367191987097</v>
      </c>
    </row>
    <row r="656" spans="11:15">
      <c r="K656" s="1472">
        <v>42713</v>
      </c>
      <c r="L656" s="1473" t="s">
        <v>2127</v>
      </c>
      <c r="M656" s="1474">
        <v>5.0788E-2</v>
      </c>
      <c r="N656" s="1475">
        <v>1.2594375482783917</v>
      </c>
      <c r="O656" s="1475">
        <v>1.259898208839672</v>
      </c>
    </row>
    <row r="657" spans="11:15">
      <c r="K657" s="1472">
        <v>42714</v>
      </c>
      <c r="L657" s="1473"/>
      <c r="M657" s="1474">
        <v>0</v>
      </c>
      <c r="N657" s="1475">
        <v>1.2594375482783917</v>
      </c>
      <c r="O657" s="1475">
        <v>1.259898208839672</v>
      </c>
    </row>
    <row r="658" spans="11:15">
      <c r="K658" s="1472">
        <v>42715</v>
      </c>
      <c r="L658" s="1473"/>
      <c r="M658" s="1474">
        <v>0</v>
      </c>
      <c r="N658" s="1475">
        <v>1.2594375482783917</v>
      </c>
      <c r="O658" s="1475">
        <v>1.259898208839672</v>
      </c>
    </row>
    <row r="659" spans="11:15">
      <c r="K659" s="1472">
        <v>42716</v>
      </c>
      <c r="L659" s="1473" t="s">
        <v>2127</v>
      </c>
      <c r="M659" s="1474">
        <v>5.0788E-2</v>
      </c>
      <c r="N659" s="1475">
        <v>1.2600771914204114</v>
      </c>
      <c r="O659" s="1475">
        <v>1.2605600459677575</v>
      </c>
    </row>
    <row r="660" spans="11:15">
      <c r="K660" s="1472">
        <v>42717</v>
      </c>
      <c r="L660" s="1473" t="s">
        <v>2127</v>
      </c>
      <c r="M660" s="1474">
        <v>5.0788E-2</v>
      </c>
      <c r="N660" s="1475">
        <v>1.26071715942439</v>
      </c>
      <c r="O660" s="1475">
        <v>1.2612222307655048</v>
      </c>
    </row>
    <row r="661" spans="11:15">
      <c r="K661" s="1472">
        <v>42718</v>
      </c>
      <c r="L661" s="1473" t="s">
        <v>2127</v>
      </c>
      <c r="M661" s="1474">
        <v>5.0788E-2</v>
      </c>
      <c r="N661" s="1475">
        <v>1.2613574524553184</v>
      </c>
      <c r="O661" s="1475">
        <v>1.2618847634155481</v>
      </c>
    </row>
    <row r="662" spans="11:15">
      <c r="K662" s="1472">
        <v>42719</v>
      </c>
      <c r="L662" s="1473" t="s">
        <v>2127</v>
      </c>
      <c r="M662" s="1474">
        <v>5.0788E-2</v>
      </c>
      <c r="N662" s="1475">
        <v>1.2619980706782714</v>
      </c>
      <c r="O662" s="1475">
        <v>1.262547644100618</v>
      </c>
    </row>
    <row r="663" spans="11:15">
      <c r="K663" s="1472">
        <v>42720</v>
      </c>
      <c r="L663" s="1473" t="s">
        <v>2127</v>
      </c>
      <c r="M663" s="1474">
        <v>5.0788E-2</v>
      </c>
      <c r="N663" s="1475">
        <v>1.2626390142584074</v>
      </c>
      <c r="O663" s="1475">
        <v>1.2632108730035405</v>
      </c>
    </row>
    <row r="664" spans="11:15">
      <c r="K664" s="1472">
        <v>42721</v>
      </c>
      <c r="L664" s="1473"/>
      <c r="M664" s="1474">
        <v>0</v>
      </c>
      <c r="N664" s="1475">
        <v>1.2626390142584074</v>
      </c>
      <c r="O664" s="1475">
        <v>1.2632108730035405</v>
      </c>
    </row>
    <row r="665" spans="11:15">
      <c r="K665" s="1472">
        <v>42722</v>
      </c>
      <c r="L665" s="1473"/>
      <c r="M665" s="1474">
        <v>0</v>
      </c>
      <c r="N665" s="1475">
        <v>1.2626390142584074</v>
      </c>
      <c r="O665" s="1475">
        <v>1.2632108730035405</v>
      </c>
    </row>
    <row r="666" spans="11:15">
      <c r="K666" s="1472">
        <v>42723</v>
      </c>
      <c r="L666" s="1473" t="s">
        <v>2127</v>
      </c>
      <c r="M666" s="1474">
        <v>5.0788E-2</v>
      </c>
      <c r="N666" s="1475">
        <v>1.2632802833609691</v>
      </c>
      <c r="O666" s="1475">
        <v>1.2638744503072381</v>
      </c>
    </row>
    <row r="667" spans="11:15">
      <c r="K667" s="1472">
        <v>42724</v>
      </c>
      <c r="L667" s="1473" t="s">
        <v>2127</v>
      </c>
      <c r="M667" s="1474">
        <v>5.0788E-2</v>
      </c>
      <c r="N667" s="1475">
        <v>1.2639218781512824</v>
      </c>
      <c r="O667" s="1475">
        <v>1.2645383761947291</v>
      </c>
    </row>
    <row r="668" spans="11:15">
      <c r="K668" s="1472">
        <v>42725</v>
      </c>
      <c r="L668" s="1473" t="s">
        <v>2127</v>
      </c>
      <c r="M668" s="1474">
        <v>5.0788E-2</v>
      </c>
      <c r="N668" s="1475">
        <v>1.264563798794758</v>
      </c>
      <c r="O668" s="1475">
        <v>1.2652026508491279</v>
      </c>
    </row>
    <row r="669" spans="11:15">
      <c r="K669" s="1472">
        <v>42726</v>
      </c>
      <c r="L669" s="1473" t="s">
        <v>2127</v>
      </c>
      <c r="M669" s="1474">
        <v>5.0788E-2</v>
      </c>
      <c r="N669" s="1475">
        <v>1.2652060454568899</v>
      </c>
      <c r="O669" s="1475">
        <v>1.2658672744536454</v>
      </c>
    </row>
    <row r="670" spans="11:15">
      <c r="K670" s="1472">
        <v>42727</v>
      </c>
      <c r="L670" s="1473" t="s">
        <v>2127</v>
      </c>
      <c r="M670" s="1474">
        <v>5.0788E-2</v>
      </c>
      <c r="N670" s="1475">
        <v>1.2658486183032565</v>
      </c>
      <c r="O670" s="1475">
        <v>1.2665322471915887</v>
      </c>
    </row>
    <row r="671" spans="11:15">
      <c r="K671" s="1472">
        <v>42728</v>
      </c>
      <c r="L671" s="1473"/>
      <c r="M671" s="1474">
        <v>0</v>
      </c>
      <c r="N671" s="1475">
        <v>1.2658486183032565</v>
      </c>
      <c r="O671" s="1475">
        <v>1.2665322471915887</v>
      </c>
    </row>
    <row r="672" spans="11:15">
      <c r="K672" s="1472">
        <v>42729</v>
      </c>
      <c r="L672" s="1473"/>
      <c r="M672" s="1474">
        <v>0</v>
      </c>
      <c r="N672" s="1475">
        <v>1.2658486183032565</v>
      </c>
      <c r="O672" s="1475">
        <v>1.2665322471915887</v>
      </c>
    </row>
    <row r="673" spans="11:15">
      <c r="K673" s="1472">
        <v>42730</v>
      </c>
      <c r="L673" s="1473" t="s">
        <v>2127</v>
      </c>
      <c r="M673" s="1474">
        <v>5.0788E-2</v>
      </c>
      <c r="N673" s="1475">
        <v>1.2664915174995204</v>
      </c>
      <c r="O673" s="1475">
        <v>1.2671975692463611</v>
      </c>
    </row>
    <row r="674" spans="11:15">
      <c r="K674" s="1472">
        <v>42731</v>
      </c>
      <c r="L674" s="1473" t="s">
        <v>2127</v>
      </c>
      <c r="M674" s="1474">
        <v>5.0788E-2</v>
      </c>
      <c r="N674" s="1475">
        <v>1.2671347432114282</v>
      </c>
      <c r="O674" s="1475">
        <v>1.2678632408014618</v>
      </c>
    </row>
    <row r="675" spans="11:15">
      <c r="K675" s="1472">
        <v>42732</v>
      </c>
      <c r="L675" s="1473" t="s">
        <v>2127</v>
      </c>
      <c r="M675" s="1474">
        <v>5.0788E-2</v>
      </c>
      <c r="N675" s="1475">
        <v>1.2677782956048105</v>
      </c>
      <c r="O675" s="1475">
        <v>1.2685292620404873</v>
      </c>
    </row>
    <row r="676" spans="11:15">
      <c r="K676" s="1472">
        <v>42733</v>
      </c>
      <c r="L676" s="1473" t="s">
        <v>2127</v>
      </c>
      <c r="M676" s="1474">
        <v>5.0788E-2</v>
      </c>
      <c r="N676" s="1475">
        <v>1.2684221748455822</v>
      </c>
      <c r="O676" s="1475">
        <v>1.2691956331471299</v>
      </c>
    </row>
    <row r="677" spans="11:15">
      <c r="K677" s="1472">
        <v>42734</v>
      </c>
      <c r="L677" s="1473" t="s">
        <v>2127</v>
      </c>
      <c r="M677" s="1474">
        <v>5.0788E-2</v>
      </c>
      <c r="N677" s="1475">
        <v>1.2690663810997427</v>
      </c>
      <c r="O677" s="1475">
        <v>1.2698623543051784</v>
      </c>
    </row>
    <row r="678" spans="11:15">
      <c r="K678" s="1472">
        <v>42735</v>
      </c>
      <c r="L678" s="1473"/>
      <c r="M678" s="1474">
        <v>0</v>
      </c>
      <c r="N678" s="1475">
        <v>1.2690663810997427</v>
      </c>
      <c r="O678" s="1475">
        <v>1.2698623543051784</v>
      </c>
    </row>
    <row r="679" spans="11:15">
      <c r="K679" s="1472">
        <v>42736</v>
      </c>
      <c r="L679" s="1473"/>
      <c r="M679" s="1474">
        <v>0</v>
      </c>
      <c r="N679" s="1475">
        <v>1.2690663810997427</v>
      </c>
      <c r="O679" s="1475">
        <v>1.2698623543051784</v>
      </c>
    </row>
    <row r="680" spans="11:15">
      <c r="K680" s="1472">
        <v>42737</v>
      </c>
      <c r="L680" s="1473" t="s">
        <v>2127</v>
      </c>
      <c r="M680" s="1474">
        <v>5.0788E-2</v>
      </c>
      <c r="N680" s="1475">
        <v>1.2697109145333756</v>
      </c>
      <c r="O680" s="1475">
        <v>1.2705294256985185</v>
      </c>
    </row>
    <row r="681" spans="11:15">
      <c r="K681" s="1472">
        <v>42738</v>
      </c>
      <c r="L681" s="1473" t="s">
        <v>2127</v>
      </c>
      <c r="M681" s="1474">
        <v>5.0788E-2</v>
      </c>
      <c r="N681" s="1475">
        <v>1.2703557753126489</v>
      </c>
      <c r="O681" s="1475">
        <v>1.2711968475111322</v>
      </c>
    </row>
    <row r="682" spans="11:15">
      <c r="K682" s="1472">
        <v>42739</v>
      </c>
      <c r="L682" s="1473" t="s">
        <v>2127</v>
      </c>
      <c r="M682" s="1474">
        <v>5.0788E-2</v>
      </c>
      <c r="N682" s="1475">
        <v>1.2710009636038146</v>
      </c>
      <c r="O682" s="1475">
        <v>1.2718646199270982</v>
      </c>
    </row>
    <row r="683" spans="11:15">
      <c r="K683" s="1472">
        <v>42740</v>
      </c>
      <c r="L683" s="1473" t="s">
        <v>2127</v>
      </c>
      <c r="M683" s="1474">
        <v>5.0788E-2</v>
      </c>
      <c r="N683" s="1475">
        <v>1.2716464795732099</v>
      </c>
      <c r="O683" s="1475">
        <v>1.2725327431305922</v>
      </c>
    </row>
    <row r="684" spans="11:15">
      <c r="K684" s="1472">
        <v>42741</v>
      </c>
      <c r="L684" s="1473" t="s">
        <v>2127</v>
      </c>
      <c r="M684" s="1474">
        <v>5.0788E-2</v>
      </c>
      <c r="N684" s="1475">
        <v>1.2722923233872556</v>
      </c>
      <c r="O684" s="1475">
        <v>1.2732012173058862</v>
      </c>
    </row>
    <row r="685" spans="11:15">
      <c r="K685" s="1472">
        <v>42742</v>
      </c>
      <c r="L685" s="1473"/>
      <c r="M685" s="1474">
        <v>0</v>
      </c>
      <c r="N685" s="1475">
        <v>1.2722923233872556</v>
      </c>
      <c r="O685" s="1475">
        <v>1.2732012173058862</v>
      </c>
    </row>
    <row r="686" spans="11:15">
      <c r="K686" s="1472">
        <v>42743</v>
      </c>
      <c r="L686" s="1473"/>
      <c r="M686" s="1474">
        <v>0</v>
      </c>
      <c r="N686" s="1475">
        <v>1.2722923233872556</v>
      </c>
      <c r="O686" s="1475">
        <v>1.2732012173058862</v>
      </c>
    </row>
    <row r="687" spans="11:15">
      <c r="K687" s="1472">
        <v>42744</v>
      </c>
      <c r="L687" s="1473" t="s">
        <v>2127</v>
      </c>
      <c r="M687" s="1474">
        <v>5.0788E-2</v>
      </c>
      <c r="N687" s="1475">
        <v>1.2729384952124576</v>
      </c>
      <c r="O687" s="1475">
        <v>1.2738700426373493</v>
      </c>
    </row>
    <row r="688" spans="11:15">
      <c r="K688" s="1472">
        <v>42745</v>
      </c>
      <c r="L688" s="1473" t="s">
        <v>2127</v>
      </c>
      <c r="M688" s="1474">
        <v>5.0788E-2</v>
      </c>
      <c r="N688" s="1475">
        <v>1.2735849952154061</v>
      </c>
      <c r="O688" s="1475">
        <v>1.2745392193094471</v>
      </c>
    </row>
    <row r="689" spans="11:15">
      <c r="K689" s="1472">
        <v>42746</v>
      </c>
      <c r="L689" s="1473" t="s">
        <v>2127</v>
      </c>
      <c r="M689" s="1474">
        <v>5.0788E-2</v>
      </c>
      <c r="N689" s="1475">
        <v>1.2742318235627761</v>
      </c>
      <c r="O689" s="1475">
        <v>1.2752087475067426</v>
      </c>
    </row>
    <row r="690" spans="11:15">
      <c r="K690" s="1472">
        <v>42747</v>
      </c>
      <c r="L690" s="1473" t="s">
        <v>2127</v>
      </c>
      <c r="M690" s="1474">
        <v>4.8159E-2</v>
      </c>
      <c r="N690" s="1475">
        <v>1.2748454808666856</v>
      </c>
      <c r="O690" s="1475">
        <v>1.2758786274138953</v>
      </c>
    </row>
    <row r="691" spans="11:15">
      <c r="K691" s="1472">
        <v>42748</v>
      </c>
      <c r="L691" s="1473" t="s">
        <v>2127</v>
      </c>
      <c r="M691" s="1474">
        <v>4.8159E-2</v>
      </c>
      <c r="N691" s="1475">
        <v>1.2754594337018161</v>
      </c>
      <c r="O691" s="1475">
        <v>1.2765488592156622</v>
      </c>
    </row>
    <row r="692" spans="11:15">
      <c r="K692" s="1472">
        <v>42749</v>
      </c>
      <c r="L692" s="1473"/>
      <c r="M692" s="1474">
        <v>0</v>
      </c>
      <c r="N692" s="1475">
        <v>1.2754594337018161</v>
      </c>
      <c r="O692" s="1475">
        <v>1.2765488592156622</v>
      </c>
    </row>
    <row r="693" spans="11:15">
      <c r="K693" s="1472">
        <v>42750</v>
      </c>
      <c r="L693" s="1473"/>
      <c r="M693" s="1474">
        <v>0</v>
      </c>
      <c r="N693" s="1475">
        <v>1.2754594337018161</v>
      </c>
      <c r="O693" s="1475">
        <v>1.2765488592156622</v>
      </c>
    </row>
    <row r="694" spans="11:15">
      <c r="K694" s="1472">
        <v>42751</v>
      </c>
      <c r="L694" s="1473" t="s">
        <v>2127</v>
      </c>
      <c r="M694" s="1474">
        <v>4.8159E-2</v>
      </c>
      <c r="N694" s="1475">
        <v>1.2760736822104926</v>
      </c>
      <c r="O694" s="1475">
        <v>1.2772194430968968</v>
      </c>
    </row>
    <row r="695" spans="11:15">
      <c r="K695" s="1472">
        <v>42752</v>
      </c>
      <c r="L695" s="1473" t="s">
        <v>2127</v>
      </c>
      <c r="M695" s="1474">
        <v>4.8159E-2</v>
      </c>
      <c r="N695" s="1475">
        <v>1.2766882265351083</v>
      </c>
      <c r="O695" s="1475">
        <v>1.27789037924255</v>
      </c>
    </row>
    <row r="696" spans="11:15">
      <c r="K696" s="1472">
        <v>42753</v>
      </c>
      <c r="L696" s="1473" t="s">
        <v>2127</v>
      </c>
      <c r="M696" s="1474">
        <v>4.8159E-2</v>
      </c>
      <c r="N696" s="1475">
        <v>1.2773030668181251</v>
      </c>
      <c r="O696" s="1475">
        <v>1.2785616678376699</v>
      </c>
    </row>
    <row r="697" spans="11:15">
      <c r="K697" s="1472">
        <v>42754</v>
      </c>
      <c r="L697" s="1473" t="s">
        <v>2127</v>
      </c>
      <c r="M697" s="1474">
        <v>4.8159E-2</v>
      </c>
      <c r="N697" s="1475">
        <v>1.2779182032020739</v>
      </c>
      <c r="O697" s="1475">
        <v>1.2792333090674017</v>
      </c>
    </row>
    <row r="698" spans="11:15">
      <c r="K698" s="1472">
        <v>42755</v>
      </c>
      <c r="L698" s="1473" t="s">
        <v>2127</v>
      </c>
      <c r="M698" s="1474">
        <v>4.8159E-2</v>
      </c>
      <c r="N698" s="1475">
        <v>1.278533635829554</v>
      </c>
      <c r="O698" s="1475">
        <v>1.279905303116988</v>
      </c>
    </row>
    <row r="699" spans="11:15">
      <c r="K699" s="1472">
        <v>42756</v>
      </c>
      <c r="L699" s="1473"/>
      <c r="M699" s="1474">
        <v>0</v>
      </c>
      <c r="N699" s="1475">
        <v>1.278533635829554</v>
      </c>
      <c r="O699" s="1475">
        <v>1.279905303116988</v>
      </c>
    </row>
    <row r="700" spans="11:15">
      <c r="K700" s="1472">
        <v>42757</v>
      </c>
      <c r="L700" s="1473"/>
      <c r="M700" s="1474">
        <v>0</v>
      </c>
      <c r="N700" s="1475">
        <v>1.278533635829554</v>
      </c>
      <c r="O700" s="1475">
        <v>1.279905303116988</v>
      </c>
    </row>
    <row r="701" spans="11:15">
      <c r="K701" s="1472">
        <v>42758</v>
      </c>
      <c r="L701" s="1473" t="s">
        <v>2127</v>
      </c>
      <c r="M701" s="1474">
        <v>4.8159E-2</v>
      </c>
      <c r="N701" s="1475">
        <v>1.279149364843233</v>
      </c>
      <c r="O701" s="1475">
        <v>1.2805776501717685</v>
      </c>
    </row>
    <row r="702" spans="11:15">
      <c r="K702" s="1472">
        <v>42759</v>
      </c>
      <c r="L702" s="1473" t="s">
        <v>2127</v>
      </c>
      <c r="M702" s="1474">
        <v>4.8159E-2</v>
      </c>
      <c r="N702" s="1475">
        <v>1.2797653903858479</v>
      </c>
      <c r="O702" s="1475">
        <v>1.2812503504171802</v>
      </c>
    </row>
    <row r="703" spans="11:15">
      <c r="K703" s="1472">
        <v>42760</v>
      </c>
      <c r="L703" s="1473" t="s">
        <v>2127</v>
      </c>
      <c r="M703" s="1474">
        <v>4.8159E-2</v>
      </c>
      <c r="N703" s="1475">
        <v>1.2803817126002037</v>
      </c>
      <c r="O703" s="1475">
        <v>1.2819234040387577</v>
      </c>
    </row>
    <row r="704" spans="11:15">
      <c r="K704" s="1472">
        <v>42761</v>
      </c>
      <c r="L704" s="1473" t="s">
        <v>2127</v>
      </c>
      <c r="M704" s="1474">
        <v>4.8159E-2</v>
      </c>
      <c r="N704" s="1475">
        <v>1.2809983316291746</v>
      </c>
      <c r="O704" s="1475">
        <v>1.2825968112221333</v>
      </c>
    </row>
    <row r="705" spans="11:15">
      <c r="K705" s="1472">
        <v>42762</v>
      </c>
      <c r="L705" s="1473" t="s">
        <v>2127</v>
      </c>
      <c r="M705" s="1474">
        <v>4.8159E-2</v>
      </c>
      <c r="N705" s="1475">
        <v>1.2816152476157039</v>
      </c>
      <c r="O705" s="1475">
        <v>1.2832705721530364</v>
      </c>
    </row>
    <row r="706" spans="11:15">
      <c r="K706" s="1472">
        <v>42763</v>
      </c>
      <c r="L706" s="1473"/>
      <c r="M706" s="1474">
        <v>0</v>
      </c>
      <c r="N706" s="1475">
        <v>1.2816152476157039</v>
      </c>
      <c r="O706" s="1475">
        <v>1.2832705721530364</v>
      </c>
    </row>
    <row r="707" spans="11:15">
      <c r="K707" s="1472">
        <v>42764</v>
      </c>
      <c r="L707" s="1473"/>
      <c r="M707" s="1474">
        <v>0</v>
      </c>
      <c r="N707" s="1475">
        <v>1.2816152476157039</v>
      </c>
      <c r="O707" s="1475">
        <v>1.2832705721530364</v>
      </c>
    </row>
    <row r="708" spans="11:15">
      <c r="K708" s="1472">
        <v>42765</v>
      </c>
      <c r="L708" s="1473" t="s">
        <v>2127</v>
      </c>
      <c r="M708" s="1474">
        <v>4.8159E-2</v>
      </c>
      <c r="N708" s="1475">
        <v>1.2822324607028031</v>
      </c>
      <c r="O708" s="1475">
        <v>1.2839446870172941</v>
      </c>
    </row>
    <row r="709" spans="11:15">
      <c r="K709" s="1472">
        <v>42766</v>
      </c>
      <c r="L709" s="1473" t="s">
        <v>2127</v>
      </c>
      <c r="M709" s="1474">
        <v>4.8159E-2</v>
      </c>
      <c r="N709" s="1475">
        <v>1.2828499710335528</v>
      </c>
      <c r="O709" s="1475">
        <v>1.2846191560008311</v>
      </c>
    </row>
    <row r="710" spans="11:15">
      <c r="K710" s="1472">
        <v>42767</v>
      </c>
      <c r="L710" s="1473" t="s">
        <v>2127</v>
      </c>
      <c r="M710" s="1474">
        <v>4.8159E-2</v>
      </c>
      <c r="N710" s="1475">
        <v>1.2834677787511029</v>
      </c>
      <c r="O710" s="1475">
        <v>1.2852939792896698</v>
      </c>
    </row>
    <row r="711" spans="11:15">
      <c r="K711" s="1472">
        <v>42768</v>
      </c>
      <c r="L711" s="1473" t="s">
        <v>2127</v>
      </c>
      <c r="M711" s="1474">
        <v>4.8159E-2</v>
      </c>
      <c r="N711" s="1475">
        <v>1.2840858839986715</v>
      </c>
      <c r="O711" s="1475">
        <v>1.2859691570699305</v>
      </c>
    </row>
    <row r="712" spans="11:15">
      <c r="K712" s="1472">
        <v>42769</v>
      </c>
      <c r="L712" s="1473" t="s">
        <v>2127</v>
      </c>
      <c r="M712" s="1474">
        <v>4.8159E-2</v>
      </c>
      <c r="N712" s="1475">
        <v>1.2847042869195464</v>
      </c>
      <c r="O712" s="1475">
        <v>1.286644689527831</v>
      </c>
    </row>
    <row r="713" spans="11:15">
      <c r="K713" s="1472">
        <v>42770</v>
      </c>
      <c r="L713" s="1473"/>
      <c r="M713" s="1474">
        <v>0</v>
      </c>
      <c r="N713" s="1475">
        <v>1.2847042869195464</v>
      </c>
      <c r="O713" s="1475">
        <v>1.286644689527831</v>
      </c>
    </row>
    <row r="714" spans="11:15">
      <c r="K714" s="1472">
        <v>42771</v>
      </c>
      <c r="L714" s="1473"/>
      <c r="M714" s="1474">
        <v>0</v>
      </c>
      <c r="N714" s="1475">
        <v>1.2847042869195464</v>
      </c>
      <c r="O714" s="1475">
        <v>1.286644689527831</v>
      </c>
    </row>
    <row r="715" spans="11:15">
      <c r="K715" s="1472">
        <v>42772</v>
      </c>
      <c r="L715" s="1473" t="s">
        <v>2127</v>
      </c>
      <c r="M715" s="1474">
        <v>4.8159E-2</v>
      </c>
      <c r="N715" s="1475">
        <v>1.285322987657084</v>
      </c>
      <c r="O715" s="1475">
        <v>1.2873205768496869</v>
      </c>
    </row>
    <row r="716" spans="11:15">
      <c r="K716" s="1472">
        <v>42773</v>
      </c>
      <c r="L716" s="1473" t="s">
        <v>2127</v>
      </c>
      <c r="M716" s="1474">
        <v>4.8159E-2</v>
      </c>
      <c r="N716" s="1475">
        <v>1.2859419863547097</v>
      </c>
      <c r="O716" s="1475">
        <v>1.2879968192219118</v>
      </c>
    </row>
    <row r="717" spans="11:15">
      <c r="K717" s="1472">
        <v>42774</v>
      </c>
      <c r="L717" s="1473" t="s">
        <v>2127</v>
      </c>
      <c r="M717" s="1474">
        <v>4.8159E-2</v>
      </c>
      <c r="N717" s="1475">
        <v>1.2865612831559181</v>
      </c>
      <c r="O717" s="1475">
        <v>1.2886734168310172</v>
      </c>
    </row>
    <row r="718" spans="11:15">
      <c r="K718" s="1472">
        <v>42775</v>
      </c>
      <c r="L718" s="1473" t="s">
        <v>2127</v>
      </c>
      <c r="M718" s="1474">
        <v>4.8159E-2</v>
      </c>
      <c r="N718" s="1475">
        <v>1.2871808782042731</v>
      </c>
      <c r="O718" s="1475">
        <v>1.2893503698636126</v>
      </c>
    </row>
    <row r="719" spans="11:15">
      <c r="K719" s="1472">
        <v>42776</v>
      </c>
      <c r="L719" s="1473" t="s">
        <v>2127</v>
      </c>
      <c r="M719" s="1474">
        <v>4.8159E-2</v>
      </c>
      <c r="N719" s="1475">
        <v>1.2878007716434074</v>
      </c>
      <c r="O719" s="1475">
        <v>1.2900276785064058</v>
      </c>
    </row>
    <row r="720" spans="11:15">
      <c r="K720" s="1472">
        <v>42777</v>
      </c>
      <c r="L720" s="1473"/>
      <c r="M720" s="1474">
        <v>0</v>
      </c>
      <c r="N720" s="1475">
        <v>1.2878007716434074</v>
      </c>
      <c r="O720" s="1475">
        <v>1.2900276785064058</v>
      </c>
    </row>
    <row r="721" spans="11:15">
      <c r="K721" s="1472">
        <v>42778</v>
      </c>
      <c r="L721" s="1473"/>
      <c r="M721" s="1474">
        <v>0</v>
      </c>
      <c r="N721" s="1475">
        <v>1.2878007716434074</v>
      </c>
      <c r="O721" s="1475">
        <v>1.2900276785064058</v>
      </c>
    </row>
    <row r="722" spans="11:15">
      <c r="K722" s="1472">
        <v>42779</v>
      </c>
      <c r="L722" s="1473" t="s">
        <v>2127</v>
      </c>
      <c r="M722" s="1474">
        <v>4.8159E-2</v>
      </c>
      <c r="N722" s="1475">
        <v>1.2884209636170232</v>
      </c>
      <c r="O722" s="1475">
        <v>1.2907053429462019</v>
      </c>
    </row>
    <row r="723" spans="11:15">
      <c r="K723" s="1472">
        <v>42780</v>
      </c>
      <c r="L723" s="1473" t="s">
        <v>2127</v>
      </c>
      <c r="M723" s="1474">
        <v>4.8159E-2</v>
      </c>
      <c r="N723" s="1475">
        <v>1.2890414542688915</v>
      </c>
      <c r="O723" s="1475">
        <v>1.291383363369905</v>
      </c>
    </row>
    <row r="724" spans="11:15">
      <c r="K724" s="1472">
        <v>42781</v>
      </c>
      <c r="L724" s="1473" t="s">
        <v>2127</v>
      </c>
      <c r="M724" s="1474">
        <v>4.8159E-2</v>
      </c>
      <c r="N724" s="1475">
        <v>1.2896622437428527</v>
      </c>
      <c r="O724" s="1475">
        <v>1.2920617399645169</v>
      </c>
    </row>
    <row r="725" spans="11:15">
      <c r="K725" s="1472">
        <v>42782</v>
      </c>
      <c r="L725" s="1473" t="s">
        <v>2127</v>
      </c>
      <c r="M725" s="1474">
        <v>4.8159E-2</v>
      </c>
      <c r="N725" s="1475">
        <v>1.2902833321828167</v>
      </c>
      <c r="O725" s="1475">
        <v>1.2927404729171377</v>
      </c>
    </row>
    <row r="726" spans="11:15">
      <c r="K726" s="1472">
        <v>42783</v>
      </c>
      <c r="L726" s="1473" t="s">
        <v>2127</v>
      </c>
      <c r="M726" s="1474">
        <v>4.8159E-2</v>
      </c>
      <c r="N726" s="1475">
        <v>1.2909047197327626</v>
      </c>
      <c r="O726" s="1475">
        <v>1.2934195624149658</v>
      </c>
    </row>
    <row r="727" spans="11:15">
      <c r="K727" s="1472">
        <v>42784</v>
      </c>
      <c r="L727" s="1473"/>
      <c r="M727" s="1474">
        <v>0</v>
      </c>
      <c r="N727" s="1475">
        <v>1.2909047197327626</v>
      </c>
      <c r="O727" s="1475">
        <v>1.2934195624149658</v>
      </c>
    </row>
    <row r="728" spans="11:15">
      <c r="K728" s="1472">
        <v>42785</v>
      </c>
      <c r="L728" s="1473"/>
      <c r="M728" s="1474">
        <v>0</v>
      </c>
      <c r="N728" s="1475">
        <v>1.2909047197327626</v>
      </c>
      <c r="O728" s="1475">
        <v>1.2934195624149658</v>
      </c>
    </row>
    <row r="729" spans="11:15">
      <c r="K729" s="1472">
        <v>42786</v>
      </c>
      <c r="L729" s="1473" t="s">
        <v>2127</v>
      </c>
      <c r="M729" s="1474">
        <v>4.8159E-2</v>
      </c>
      <c r="N729" s="1475">
        <v>1.2915264065367384</v>
      </c>
      <c r="O729" s="1475">
        <v>1.2940990086452979</v>
      </c>
    </row>
    <row r="730" spans="11:15">
      <c r="K730" s="1472">
        <v>42787</v>
      </c>
      <c r="L730" s="1473" t="s">
        <v>2127</v>
      </c>
      <c r="M730" s="1474">
        <v>4.8159E-2</v>
      </c>
      <c r="N730" s="1475">
        <v>1.2921483927388624</v>
      </c>
      <c r="O730" s="1475">
        <v>1.2947788117955294</v>
      </c>
    </row>
    <row r="731" spans="11:15">
      <c r="K731" s="1472">
        <v>42788</v>
      </c>
      <c r="L731" s="1473" t="s">
        <v>2127</v>
      </c>
      <c r="M731" s="1474">
        <v>4.8159E-2</v>
      </c>
      <c r="N731" s="1475">
        <v>1.2927706784833215</v>
      </c>
      <c r="O731" s="1475">
        <v>1.2954589720531537</v>
      </c>
    </row>
    <row r="732" spans="11:15">
      <c r="K732" s="1472">
        <v>42789</v>
      </c>
      <c r="L732" s="1473" t="s">
        <v>2127</v>
      </c>
      <c r="M732" s="1474">
        <v>4.5512999999999998E-2</v>
      </c>
      <c r="N732" s="1475">
        <v>1.2933590572022196</v>
      </c>
      <c r="O732" s="1475">
        <v>1.296139489605763</v>
      </c>
    </row>
    <row r="733" spans="11:15">
      <c r="K733" s="1472">
        <v>42790</v>
      </c>
      <c r="L733" s="1473" t="s">
        <v>2127</v>
      </c>
      <c r="M733" s="1474">
        <v>4.5512999999999998E-2</v>
      </c>
      <c r="N733" s="1475">
        <v>1.2939477037099241</v>
      </c>
      <c r="O733" s="1475">
        <v>1.2968203646410479</v>
      </c>
    </row>
    <row r="734" spans="11:15">
      <c r="K734" s="1472">
        <v>42791</v>
      </c>
      <c r="L734" s="1473"/>
      <c r="M734" s="1474">
        <v>0</v>
      </c>
      <c r="N734" s="1475">
        <v>1.2939477037099241</v>
      </c>
      <c r="O734" s="1475">
        <v>1.2968203646410479</v>
      </c>
    </row>
    <row r="735" spans="11:15">
      <c r="K735" s="1472">
        <v>42792</v>
      </c>
      <c r="L735" s="1473"/>
      <c r="M735" s="1474">
        <v>0</v>
      </c>
      <c r="N735" s="1475">
        <v>1.2939477037099241</v>
      </c>
      <c r="O735" s="1475">
        <v>1.2968203646410479</v>
      </c>
    </row>
    <row r="736" spans="11:15">
      <c r="K736" s="1472">
        <v>42793</v>
      </c>
      <c r="L736" s="1473"/>
      <c r="M736" s="1474">
        <v>0</v>
      </c>
      <c r="N736" s="1475">
        <v>1.2939477037099241</v>
      </c>
      <c r="O736" s="1475">
        <v>1.2968203646410479</v>
      </c>
    </row>
    <row r="737" spans="11:15">
      <c r="K737" s="1472">
        <v>42794</v>
      </c>
      <c r="L737" s="1473"/>
      <c r="M737" s="1474">
        <v>0</v>
      </c>
      <c r="N737" s="1475">
        <v>1.2939477037099241</v>
      </c>
      <c r="O737" s="1475">
        <v>1.2968203646410479</v>
      </c>
    </row>
    <row r="738" spans="11:15">
      <c r="K738" s="1472">
        <v>42795</v>
      </c>
      <c r="L738" s="1473" t="s">
        <v>2127</v>
      </c>
      <c r="M738" s="1474">
        <v>4.5512999999999998E-2</v>
      </c>
      <c r="N738" s="1475">
        <v>1.2945366181283136</v>
      </c>
      <c r="O738" s="1475">
        <v>1.2975015973467974</v>
      </c>
    </row>
    <row r="739" spans="11:15">
      <c r="K739" s="1472">
        <v>42796</v>
      </c>
      <c r="L739" s="1473" t="s">
        <v>2127</v>
      </c>
      <c r="M739" s="1474">
        <v>4.5512999999999998E-2</v>
      </c>
      <c r="N739" s="1475">
        <v>1.2951258005793223</v>
      </c>
      <c r="O739" s="1475">
        <v>1.2981831879108996</v>
      </c>
    </row>
    <row r="740" spans="11:15">
      <c r="K740" s="1472">
        <v>42797</v>
      </c>
      <c r="L740" s="1473" t="s">
        <v>2127</v>
      </c>
      <c r="M740" s="1474">
        <v>4.5512999999999998E-2</v>
      </c>
      <c r="N740" s="1475">
        <v>1.2957152511849399</v>
      </c>
      <c r="O740" s="1475">
        <v>1.2988651365213411</v>
      </c>
    </row>
    <row r="741" spans="11:15">
      <c r="K741" s="1472">
        <v>42798</v>
      </c>
      <c r="L741" s="1473"/>
      <c r="M741" s="1474">
        <v>0</v>
      </c>
      <c r="N741" s="1475">
        <v>1.2957152511849399</v>
      </c>
      <c r="O741" s="1475">
        <v>1.2988651365213411</v>
      </c>
    </row>
    <row r="742" spans="11:15">
      <c r="K742" s="1472">
        <v>42799</v>
      </c>
      <c r="L742" s="1473"/>
      <c r="M742" s="1474">
        <v>0</v>
      </c>
      <c r="N742" s="1475">
        <v>1.2957152511849399</v>
      </c>
      <c r="O742" s="1475">
        <v>1.2988651365213411</v>
      </c>
    </row>
    <row r="743" spans="11:15">
      <c r="K743" s="1472">
        <v>42800</v>
      </c>
      <c r="L743" s="1473" t="s">
        <v>2127</v>
      </c>
      <c r="M743" s="1474">
        <v>4.5512999999999998E-2</v>
      </c>
      <c r="N743" s="1475">
        <v>1.2963049700672116</v>
      </c>
      <c r="O743" s="1475">
        <v>1.2995474433662071</v>
      </c>
    </row>
    <row r="744" spans="11:15">
      <c r="K744" s="1472">
        <v>42801</v>
      </c>
      <c r="L744" s="1473" t="s">
        <v>2127</v>
      </c>
      <c r="M744" s="1474">
        <v>4.5512999999999998E-2</v>
      </c>
      <c r="N744" s="1475">
        <v>1.2968949573482382</v>
      </c>
      <c r="O744" s="1475">
        <v>1.3002301086336818</v>
      </c>
    </row>
    <row r="745" spans="11:15">
      <c r="K745" s="1472">
        <v>42802</v>
      </c>
      <c r="L745" s="1473" t="s">
        <v>2127</v>
      </c>
      <c r="M745" s="1474">
        <v>4.5512999999999998E-2</v>
      </c>
      <c r="N745" s="1475">
        <v>1.2974852131501762</v>
      </c>
      <c r="O745" s="1475">
        <v>1.3009131325120482</v>
      </c>
    </row>
    <row r="746" spans="11:15">
      <c r="K746" s="1472">
        <v>42803</v>
      </c>
      <c r="L746" s="1473" t="s">
        <v>2127</v>
      </c>
      <c r="M746" s="1474">
        <v>4.5512999999999998E-2</v>
      </c>
      <c r="N746" s="1475">
        <v>1.2980757375952372</v>
      </c>
      <c r="O746" s="1475">
        <v>1.3015965151896882</v>
      </c>
    </row>
    <row r="747" spans="11:15">
      <c r="K747" s="1472">
        <v>42804</v>
      </c>
      <c r="L747" s="1473" t="s">
        <v>2127</v>
      </c>
      <c r="M747" s="1474">
        <v>4.5512999999999998E-2</v>
      </c>
      <c r="N747" s="1475">
        <v>1.2986665308056888</v>
      </c>
      <c r="O747" s="1475">
        <v>1.3022802568550824</v>
      </c>
    </row>
    <row r="748" spans="11:15">
      <c r="K748" s="1472">
        <v>42805</v>
      </c>
      <c r="L748" s="1473"/>
      <c r="M748" s="1474">
        <v>0</v>
      </c>
      <c r="N748" s="1475">
        <v>1.2986665308056888</v>
      </c>
      <c r="O748" s="1475">
        <v>1.3022802568550824</v>
      </c>
    </row>
    <row r="749" spans="11:15">
      <c r="K749" s="1472">
        <v>42806</v>
      </c>
      <c r="L749" s="1473"/>
      <c r="M749" s="1474">
        <v>0</v>
      </c>
      <c r="N749" s="1475">
        <v>1.2986665308056888</v>
      </c>
      <c r="O749" s="1475">
        <v>1.3022802568550824</v>
      </c>
    </row>
    <row r="750" spans="11:15">
      <c r="K750" s="1472">
        <v>42807</v>
      </c>
      <c r="L750" s="1473" t="s">
        <v>2127</v>
      </c>
      <c r="M750" s="1474">
        <v>4.5512999999999998E-2</v>
      </c>
      <c r="N750" s="1475">
        <v>1.2992575929038543</v>
      </c>
      <c r="O750" s="1475">
        <v>1.3029643576968111</v>
      </c>
    </row>
    <row r="751" spans="11:15">
      <c r="K751" s="1472">
        <v>42808</v>
      </c>
      <c r="L751" s="1473" t="s">
        <v>2127</v>
      </c>
      <c r="M751" s="1474">
        <v>4.5512999999999998E-2</v>
      </c>
      <c r="N751" s="1475">
        <v>1.2998489240121127</v>
      </c>
      <c r="O751" s="1475">
        <v>1.3036488179035528</v>
      </c>
    </row>
    <row r="752" spans="11:15">
      <c r="K752" s="1472">
        <v>42809</v>
      </c>
      <c r="L752" s="1473" t="s">
        <v>2127</v>
      </c>
      <c r="M752" s="1474">
        <v>4.5512999999999998E-2</v>
      </c>
      <c r="N752" s="1475">
        <v>1.3004405242528982</v>
      </c>
      <c r="O752" s="1475">
        <v>1.3043336376640857</v>
      </c>
    </row>
    <row r="753" spans="11:15">
      <c r="K753" s="1472">
        <v>42810</v>
      </c>
      <c r="L753" s="1473" t="s">
        <v>2127</v>
      </c>
      <c r="M753" s="1474">
        <v>4.5512999999999998E-2</v>
      </c>
      <c r="N753" s="1475">
        <v>1.3010323937487014</v>
      </c>
      <c r="O753" s="1475">
        <v>1.305018817167287</v>
      </c>
    </row>
    <row r="754" spans="11:15">
      <c r="K754" s="1472">
        <v>42811</v>
      </c>
      <c r="L754" s="1473" t="s">
        <v>2127</v>
      </c>
      <c r="M754" s="1474">
        <v>4.5512999999999998E-2</v>
      </c>
      <c r="N754" s="1475">
        <v>1.3016245326220681</v>
      </c>
      <c r="O754" s="1475">
        <v>1.3057043566021331</v>
      </c>
    </row>
    <row r="755" spans="11:15">
      <c r="K755" s="1472">
        <v>42812</v>
      </c>
      <c r="L755" s="1473"/>
      <c r="M755" s="1474">
        <v>0</v>
      </c>
      <c r="N755" s="1475">
        <v>1.3016245326220681</v>
      </c>
      <c r="O755" s="1475">
        <v>1.3057043566021331</v>
      </c>
    </row>
    <row r="756" spans="11:15">
      <c r="K756" s="1472">
        <v>42813</v>
      </c>
      <c r="L756" s="1473"/>
      <c r="M756" s="1474">
        <v>0</v>
      </c>
      <c r="N756" s="1475">
        <v>1.3016245326220681</v>
      </c>
      <c r="O756" s="1475">
        <v>1.3057043566021331</v>
      </c>
    </row>
    <row r="757" spans="11:15">
      <c r="K757" s="1472">
        <v>42814</v>
      </c>
      <c r="L757" s="1473" t="s">
        <v>2127</v>
      </c>
      <c r="M757" s="1474">
        <v>4.5512999999999998E-2</v>
      </c>
      <c r="N757" s="1475">
        <v>1.3022169409956004</v>
      </c>
      <c r="O757" s="1475">
        <v>1.3063902561576999</v>
      </c>
    </row>
    <row r="758" spans="11:15">
      <c r="K758" s="1472">
        <v>42815</v>
      </c>
      <c r="L758" s="1473" t="s">
        <v>2127</v>
      </c>
      <c r="M758" s="1474">
        <v>4.5512999999999998E-2</v>
      </c>
      <c r="N758" s="1475">
        <v>1.3028096189919556</v>
      </c>
      <c r="O758" s="1475">
        <v>1.3070765160231621</v>
      </c>
    </row>
    <row r="759" spans="11:15">
      <c r="K759" s="1472">
        <v>42816</v>
      </c>
      <c r="L759" s="1473" t="s">
        <v>2127</v>
      </c>
      <c r="M759" s="1474">
        <v>4.5512999999999998E-2</v>
      </c>
      <c r="N759" s="1475">
        <v>1.3034025667338474</v>
      </c>
      <c r="O759" s="1475">
        <v>1.3077631363877942</v>
      </c>
    </row>
    <row r="760" spans="11:15">
      <c r="K760" s="1472">
        <v>42817</v>
      </c>
      <c r="L760" s="1473" t="s">
        <v>2127</v>
      </c>
      <c r="M760" s="1474">
        <v>4.5512999999999998E-2</v>
      </c>
      <c r="N760" s="1475">
        <v>1.3039957843440448</v>
      </c>
      <c r="O760" s="1475">
        <v>1.30845011744097</v>
      </c>
    </row>
    <row r="761" spans="11:15">
      <c r="K761" s="1472">
        <v>42818</v>
      </c>
      <c r="L761" s="1473" t="s">
        <v>2127</v>
      </c>
      <c r="M761" s="1474">
        <v>4.5512999999999998E-2</v>
      </c>
      <c r="N761" s="1475">
        <v>1.3045892719453733</v>
      </c>
      <c r="O761" s="1475">
        <v>1.309137459372163</v>
      </c>
    </row>
    <row r="762" spans="11:15">
      <c r="K762" s="1472">
        <v>42819</v>
      </c>
      <c r="L762" s="1473"/>
      <c r="M762" s="1474">
        <v>0</v>
      </c>
      <c r="N762" s="1475">
        <v>1.3045892719453733</v>
      </c>
      <c r="O762" s="1475">
        <v>1.309137459372163</v>
      </c>
    </row>
    <row r="763" spans="11:15">
      <c r="K763" s="1472">
        <v>42820</v>
      </c>
      <c r="L763" s="1473"/>
      <c r="M763" s="1474">
        <v>0</v>
      </c>
      <c r="N763" s="1475">
        <v>1.3045892719453733</v>
      </c>
      <c r="O763" s="1475">
        <v>1.309137459372163</v>
      </c>
    </row>
    <row r="764" spans="11:15">
      <c r="K764" s="1472">
        <v>42821</v>
      </c>
      <c r="L764" s="1473" t="s">
        <v>2127</v>
      </c>
      <c r="M764" s="1474">
        <v>4.5512999999999998E-2</v>
      </c>
      <c r="N764" s="1475">
        <v>1.3051830296607139</v>
      </c>
      <c r="O764" s="1475">
        <v>1.3098251623709458</v>
      </c>
    </row>
    <row r="765" spans="11:15">
      <c r="K765" s="1472">
        <v>42822</v>
      </c>
      <c r="L765" s="1473" t="s">
        <v>2127</v>
      </c>
      <c r="M765" s="1474">
        <v>4.5512999999999998E-2</v>
      </c>
      <c r="N765" s="1475">
        <v>1.3057770576130032</v>
      </c>
      <c r="O765" s="1475">
        <v>1.310513226626991</v>
      </c>
    </row>
    <row r="766" spans="11:15">
      <c r="K766" s="1472">
        <v>42823</v>
      </c>
      <c r="L766" s="1473" t="s">
        <v>2127</v>
      </c>
      <c r="M766" s="1474">
        <v>4.5512999999999998E-2</v>
      </c>
      <c r="N766" s="1475">
        <v>1.3063713559252346</v>
      </c>
      <c r="O766" s="1475">
        <v>1.3112016523300705</v>
      </c>
    </row>
    <row r="767" spans="11:15">
      <c r="K767" s="1472">
        <v>42824</v>
      </c>
      <c r="L767" s="1473" t="s">
        <v>2127</v>
      </c>
      <c r="M767" s="1474">
        <v>4.5512999999999998E-2</v>
      </c>
      <c r="N767" s="1475">
        <v>1.3069659247204568</v>
      </c>
      <c r="O767" s="1475">
        <v>1.3118904396700559</v>
      </c>
    </row>
    <row r="768" spans="11:15">
      <c r="K768" s="1472">
        <v>42825</v>
      </c>
      <c r="L768" s="1473" t="s">
        <v>2127</v>
      </c>
      <c r="M768" s="1474">
        <v>4.5512999999999998E-2</v>
      </c>
      <c r="N768" s="1475">
        <v>1.3075607641217748</v>
      </c>
      <c r="O768" s="1475">
        <v>1.3125795888369189</v>
      </c>
    </row>
    <row r="769" spans="11:15">
      <c r="K769" s="1472">
        <v>42826</v>
      </c>
      <c r="L769" s="1473"/>
      <c r="M769" s="1474">
        <v>0</v>
      </c>
      <c r="N769" s="1475">
        <v>1.3075607641217748</v>
      </c>
      <c r="O769" s="1475">
        <v>1.3125795888369189</v>
      </c>
    </row>
    <row r="770" spans="11:15">
      <c r="K770" s="1472">
        <v>42827</v>
      </c>
      <c r="L770" s="1473"/>
      <c r="M770" s="1474">
        <v>0</v>
      </c>
      <c r="N770" s="1475">
        <v>1.3075607641217748</v>
      </c>
      <c r="O770" s="1475">
        <v>1.3125795888369189</v>
      </c>
    </row>
    <row r="771" spans="11:15">
      <c r="K771" s="1472">
        <v>42828</v>
      </c>
      <c r="L771" s="1473" t="s">
        <v>2127</v>
      </c>
      <c r="M771" s="1474">
        <v>4.5512999999999998E-2</v>
      </c>
      <c r="N771" s="1475">
        <v>1.3081558742523496</v>
      </c>
      <c r="O771" s="1475">
        <v>1.3132691000207308</v>
      </c>
    </row>
    <row r="772" spans="11:15">
      <c r="K772" s="1472">
        <v>42829</v>
      </c>
      <c r="L772" s="1473" t="s">
        <v>2127</v>
      </c>
      <c r="M772" s="1474">
        <v>4.5512999999999998E-2</v>
      </c>
      <c r="N772" s="1475">
        <v>1.3087512552353979</v>
      </c>
      <c r="O772" s="1475">
        <v>1.3139589734116628</v>
      </c>
    </row>
    <row r="773" spans="11:15">
      <c r="K773" s="1472">
        <v>42830</v>
      </c>
      <c r="L773" s="1473" t="s">
        <v>2127</v>
      </c>
      <c r="M773" s="1474">
        <v>4.5512999999999998E-2</v>
      </c>
      <c r="N773" s="1475">
        <v>1.3093469071941932</v>
      </c>
      <c r="O773" s="1475">
        <v>1.3146492091999857</v>
      </c>
    </row>
    <row r="774" spans="11:15">
      <c r="K774" s="1472">
        <v>42831</v>
      </c>
      <c r="L774" s="1473" t="s">
        <v>2127</v>
      </c>
      <c r="M774" s="1474">
        <v>4.5512999999999998E-2</v>
      </c>
      <c r="N774" s="1475">
        <v>1.3099428302520644</v>
      </c>
      <c r="O774" s="1475">
        <v>1.3153398075760705</v>
      </c>
    </row>
    <row r="775" spans="11:15">
      <c r="K775" s="1472">
        <v>42832</v>
      </c>
      <c r="L775" s="1473" t="s">
        <v>2127</v>
      </c>
      <c r="M775" s="1474">
        <v>4.5512999999999998E-2</v>
      </c>
      <c r="N775" s="1475">
        <v>1.3105390245323969</v>
      </c>
      <c r="O775" s="1475">
        <v>1.3160307687303883</v>
      </c>
    </row>
    <row r="776" spans="11:15">
      <c r="K776" s="1472">
        <v>42833</v>
      </c>
      <c r="L776" s="1473"/>
      <c r="M776" s="1474">
        <v>0</v>
      </c>
      <c r="N776" s="1475">
        <v>1.3105390245323969</v>
      </c>
      <c r="O776" s="1475">
        <v>1.3160307687303883</v>
      </c>
    </row>
    <row r="777" spans="11:15">
      <c r="K777" s="1472">
        <v>42834</v>
      </c>
      <c r="L777" s="1473"/>
      <c r="M777" s="1474">
        <v>0</v>
      </c>
      <c r="N777" s="1475">
        <v>1.3105390245323969</v>
      </c>
      <c r="O777" s="1475">
        <v>1.3160307687303883</v>
      </c>
    </row>
    <row r="778" spans="11:15">
      <c r="K778" s="1472">
        <v>42835</v>
      </c>
      <c r="L778" s="1473" t="s">
        <v>2127</v>
      </c>
      <c r="M778" s="1474">
        <v>4.5512999999999998E-2</v>
      </c>
      <c r="N778" s="1475">
        <v>1.3111354901586323</v>
      </c>
      <c r="O778" s="1475">
        <v>1.3167220928535099</v>
      </c>
    </row>
    <row r="779" spans="11:15">
      <c r="K779" s="1472">
        <v>42836</v>
      </c>
      <c r="L779" s="1473" t="s">
        <v>2127</v>
      </c>
      <c r="M779" s="1474">
        <v>4.5512999999999998E-2</v>
      </c>
      <c r="N779" s="1475">
        <v>1.3117322272542682</v>
      </c>
      <c r="O779" s="1475">
        <v>1.3174137801361068</v>
      </c>
    </row>
    <row r="780" spans="11:15">
      <c r="K780" s="1472">
        <v>42837</v>
      </c>
      <c r="L780" s="1473" t="s">
        <v>2127</v>
      </c>
      <c r="M780" s="1474">
        <v>4.5512999999999998E-2</v>
      </c>
      <c r="N780" s="1475">
        <v>1.3123292359428584</v>
      </c>
      <c r="O780" s="1475">
        <v>1.3181058307689502</v>
      </c>
    </row>
    <row r="781" spans="11:15">
      <c r="K781" s="1472">
        <v>42838</v>
      </c>
      <c r="L781" s="1473" t="s">
        <v>2127</v>
      </c>
      <c r="M781" s="1474">
        <v>4.1957000000000001E-2</v>
      </c>
      <c r="N781" s="1475">
        <v>1.3128798499203831</v>
      </c>
      <c r="O781" s="1475">
        <v>1.3187982449429114</v>
      </c>
    </row>
    <row r="782" spans="11:15">
      <c r="K782" s="1472">
        <v>42839</v>
      </c>
      <c r="L782" s="1473"/>
      <c r="M782" s="1474">
        <v>0</v>
      </c>
      <c r="N782" s="1475">
        <v>1.3128798499203831</v>
      </c>
      <c r="O782" s="1475">
        <v>1.3187982449429114</v>
      </c>
    </row>
    <row r="783" spans="11:15">
      <c r="K783" s="1472">
        <v>42840</v>
      </c>
      <c r="L783" s="1473"/>
      <c r="M783" s="1474">
        <v>0</v>
      </c>
      <c r="N783" s="1475">
        <v>1.3128798499203831</v>
      </c>
      <c r="O783" s="1475">
        <v>1.3187982449429114</v>
      </c>
    </row>
    <row r="784" spans="11:15">
      <c r="K784" s="1472">
        <v>42841</v>
      </c>
      <c r="L784" s="1473"/>
      <c r="M784" s="1474">
        <v>0</v>
      </c>
      <c r="N784" s="1475">
        <v>1.3128798499203831</v>
      </c>
      <c r="O784" s="1475">
        <v>1.3187982449429114</v>
      </c>
    </row>
    <row r="785" spans="11:15">
      <c r="K785" s="1472">
        <v>42842</v>
      </c>
      <c r="L785" s="1473" t="s">
        <v>2127</v>
      </c>
      <c r="M785" s="1474">
        <v>4.1957000000000001E-2</v>
      </c>
      <c r="N785" s="1475">
        <v>1.3134306949190142</v>
      </c>
      <c r="O785" s="1475">
        <v>1.3194910228489625</v>
      </c>
    </row>
    <row r="786" spans="11:15">
      <c r="K786" s="1472">
        <v>42843</v>
      </c>
      <c r="L786" s="1473" t="s">
        <v>2127</v>
      </c>
      <c r="M786" s="1474">
        <v>4.1957000000000001E-2</v>
      </c>
      <c r="N786" s="1475">
        <v>1.3139817710356814</v>
      </c>
      <c r="O786" s="1475">
        <v>1.3201841646781753</v>
      </c>
    </row>
    <row r="787" spans="11:15">
      <c r="K787" s="1472">
        <v>42844</v>
      </c>
      <c r="L787" s="1473" t="s">
        <v>2127</v>
      </c>
      <c r="M787" s="1474">
        <v>4.1957000000000001E-2</v>
      </c>
      <c r="N787" s="1475">
        <v>1.3145330783673548</v>
      </c>
      <c r="O787" s="1475">
        <v>1.3208776706217225</v>
      </c>
    </row>
    <row r="788" spans="11:15">
      <c r="K788" s="1472">
        <v>42845</v>
      </c>
      <c r="L788" s="1473" t="s">
        <v>2127</v>
      </c>
      <c r="M788" s="1474">
        <v>4.1957000000000001E-2</v>
      </c>
      <c r="N788" s="1475">
        <v>1.3150846170110455</v>
      </c>
      <c r="O788" s="1475">
        <v>1.3215715408708768</v>
      </c>
    </row>
    <row r="789" spans="11:15">
      <c r="K789" s="1472">
        <v>42846</v>
      </c>
      <c r="L789" s="1473"/>
      <c r="M789" s="1474">
        <v>0</v>
      </c>
      <c r="N789" s="1475">
        <v>1.3150846170110455</v>
      </c>
      <c r="O789" s="1475">
        <v>1.3215715408708768</v>
      </c>
    </row>
    <row r="790" spans="11:15">
      <c r="K790" s="1472">
        <v>42847</v>
      </c>
      <c r="L790" s="1473"/>
      <c r="M790" s="1474">
        <v>0</v>
      </c>
      <c r="N790" s="1475">
        <v>1.3150846170110455</v>
      </c>
      <c r="O790" s="1475">
        <v>1.3215715408708768</v>
      </c>
    </row>
    <row r="791" spans="11:15">
      <c r="K791" s="1472">
        <v>42848</v>
      </c>
      <c r="L791" s="1473"/>
      <c r="M791" s="1474">
        <v>0</v>
      </c>
      <c r="N791" s="1475">
        <v>1.3150846170110455</v>
      </c>
      <c r="O791" s="1475">
        <v>1.3215715408708768</v>
      </c>
    </row>
    <row r="792" spans="11:15">
      <c r="K792" s="1472">
        <v>42849</v>
      </c>
      <c r="L792" s="1473" t="s">
        <v>2127</v>
      </c>
      <c r="M792" s="1474">
        <v>4.1957000000000001E-2</v>
      </c>
      <c r="N792" s="1475">
        <v>1.3156363870638048</v>
      </c>
      <c r="O792" s="1475">
        <v>1.3222657756170118</v>
      </c>
    </row>
    <row r="793" spans="11:15">
      <c r="K793" s="1472">
        <v>42850</v>
      </c>
      <c r="L793" s="1473" t="s">
        <v>2127</v>
      </c>
      <c r="M793" s="1474">
        <v>4.1957000000000001E-2</v>
      </c>
      <c r="N793" s="1475">
        <v>1.3161883886227252</v>
      </c>
      <c r="O793" s="1475">
        <v>1.322960375051601</v>
      </c>
    </row>
    <row r="794" spans="11:15">
      <c r="K794" s="1472">
        <v>42851</v>
      </c>
      <c r="L794" s="1473" t="s">
        <v>2127</v>
      </c>
      <c r="M794" s="1474">
        <v>4.1957000000000001E-2</v>
      </c>
      <c r="N794" s="1475">
        <v>1.3167406217849398</v>
      </c>
      <c r="O794" s="1475">
        <v>1.3236553393662194</v>
      </c>
    </row>
    <row r="795" spans="11:15">
      <c r="K795" s="1472">
        <v>42852</v>
      </c>
      <c r="L795" s="1473" t="s">
        <v>2127</v>
      </c>
      <c r="M795" s="1474">
        <v>4.1957000000000001E-2</v>
      </c>
      <c r="N795" s="1475">
        <v>1.3172930866476222</v>
      </c>
      <c r="O795" s="1475">
        <v>1.3243506687525419</v>
      </c>
    </row>
    <row r="796" spans="11:15">
      <c r="K796" s="1472">
        <v>42853</v>
      </c>
      <c r="L796" s="1473" t="s">
        <v>2127</v>
      </c>
      <c r="M796" s="1474">
        <v>4.1957000000000001E-2</v>
      </c>
      <c r="N796" s="1475">
        <v>1.3178457833079871</v>
      </c>
      <c r="O796" s="1475">
        <v>1.3250463634023444</v>
      </c>
    </row>
    <row r="797" spans="11:15">
      <c r="K797" s="1472">
        <v>42854</v>
      </c>
      <c r="L797" s="1473"/>
      <c r="M797" s="1474">
        <v>0</v>
      </c>
      <c r="N797" s="1475">
        <v>1.3178457833079871</v>
      </c>
      <c r="O797" s="1475">
        <v>1.3250463634023444</v>
      </c>
    </row>
    <row r="798" spans="11:15">
      <c r="K798" s="1472">
        <v>42855</v>
      </c>
      <c r="L798" s="1473"/>
      <c r="M798" s="1474">
        <v>0</v>
      </c>
      <c r="N798" s="1475">
        <v>1.3178457833079871</v>
      </c>
      <c r="O798" s="1475">
        <v>1.3250463634023444</v>
      </c>
    </row>
    <row r="799" spans="11:15">
      <c r="K799" s="1472">
        <v>42856</v>
      </c>
      <c r="L799" s="1473"/>
      <c r="M799" s="1474">
        <v>0</v>
      </c>
      <c r="N799" s="1475">
        <v>1.3178457833079871</v>
      </c>
      <c r="O799" s="1475">
        <v>1.3250463634023444</v>
      </c>
    </row>
    <row r="800" spans="11:15">
      <c r="K800" s="1472">
        <v>42857</v>
      </c>
      <c r="L800" s="1473" t="s">
        <v>2127</v>
      </c>
      <c r="M800" s="1474">
        <v>4.1957000000000001E-2</v>
      </c>
      <c r="N800" s="1475">
        <v>1.3183987118632896</v>
      </c>
      <c r="O800" s="1475">
        <v>1.3257424235075033</v>
      </c>
    </row>
    <row r="801" spans="11:15">
      <c r="K801" s="1472">
        <v>42858</v>
      </c>
      <c r="L801" s="1473" t="s">
        <v>2127</v>
      </c>
      <c r="M801" s="1474">
        <v>4.1957000000000001E-2</v>
      </c>
      <c r="N801" s="1475">
        <v>1.3189518724108262</v>
      </c>
      <c r="O801" s="1475">
        <v>1.3264388492599959</v>
      </c>
    </row>
    <row r="802" spans="11:15">
      <c r="K802" s="1472">
        <v>42859</v>
      </c>
      <c r="L802" s="1473" t="s">
        <v>2127</v>
      </c>
      <c r="M802" s="1474">
        <v>4.1957000000000001E-2</v>
      </c>
      <c r="N802" s="1475">
        <v>1.3195052650479338</v>
      </c>
      <c r="O802" s="1475">
        <v>1.3271356408519006</v>
      </c>
    </row>
    <row r="803" spans="11:15">
      <c r="K803" s="1472">
        <v>42860</v>
      </c>
      <c r="L803" s="1473" t="s">
        <v>2127</v>
      </c>
      <c r="M803" s="1474">
        <v>4.1957000000000001E-2</v>
      </c>
      <c r="N803" s="1475">
        <v>1.32005888987199</v>
      </c>
      <c r="O803" s="1475">
        <v>1.3278327984753966</v>
      </c>
    </row>
    <row r="804" spans="11:15">
      <c r="K804" s="1472">
        <v>42861</v>
      </c>
      <c r="L804" s="1473"/>
      <c r="M804" s="1474">
        <v>0</v>
      </c>
      <c r="N804" s="1475">
        <v>1.32005888987199</v>
      </c>
      <c r="O804" s="1475">
        <v>1.3278327984753966</v>
      </c>
    </row>
    <row r="805" spans="11:15">
      <c r="K805" s="1472">
        <v>42862</v>
      </c>
      <c r="L805" s="1473"/>
      <c r="M805" s="1474">
        <v>0</v>
      </c>
      <c r="N805" s="1475">
        <v>1.32005888987199</v>
      </c>
      <c r="O805" s="1475">
        <v>1.3278327984753966</v>
      </c>
    </row>
    <row r="806" spans="11:15">
      <c r="K806" s="1472">
        <v>42863</v>
      </c>
      <c r="L806" s="1473" t="s">
        <v>2127</v>
      </c>
      <c r="M806" s="1474">
        <v>4.1957000000000001E-2</v>
      </c>
      <c r="N806" s="1475">
        <v>1.3206127469804136</v>
      </c>
      <c r="O806" s="1475">
        <v>1.3285303223227638</v>
      </c>
    </row>
    <row r="807" spans="11:15">
      <c r="K807" s="1472">
        <v>42864</v>
      </c>
      <c r="L807" s="1473" t="s">
        <v>2127</v>
      </c>
      <c r="M807" s="1474">
        <v>4.1957000000000001E-2</v>
      </c>
      <c r="N807" s="1475">
        <v>1.3211668364706644</v>
      </c>
      <c r="O807" s="1475">
        <v>1.3292282125863832</v>
      </c>
    </row>
    <row r="808" spans="11:15">
      <c r="K808" s="1472">
        <v>42865</v>
      </c>
      <c r="L808" s="1473" t="s">
        <v>2127</v>
      </c>
      <c r="M808" s="1474">
        <v>4.1957000000000001E-2</v>
      </c>
      <c r="N808" s="1475">
        <v>1.3217211584402424</v>
      </c>
      <c r="O808" s="1475">
        <v>1.3299264694587369</v>
      </c>
    </row>
    <row r="809" spans="11:15">
      <c r="K809" s="1472">
        <v>42866</v>
      </c>
      <c r="L809" s="1473" t="s">
        <v>2127</v>
      </c>
      <c r="M809" s="1474">
        <v>4.1957000000000001E-2</v>
      </c>
      <c r="N809" s="1475">
        <v>1.3222757129866893</v>
      </c>
      <c r="O809" s="1475">
        <v>1.3306250931324084</v>
      </c>
    </row>
    <row r="810" spans="11:15">
      <c r="K810" s="1472">
        <v>42867</v>
      </c>
      <c r="L810" s="1473" t="s">
        <v>2127</v>
      </c>
      <c r="M810" s="1474">
        <v>4.1957000000000001E-2</v>
      </c>
      <c r="N810" s="1475">
        <v>1.3228305002075873</v>
      </c>
      <c r="O810" s="1475">
        <v>1.3313240838000817</v>
      </c>
    </row>
    <row r="811" spans="11:15">
      <c r="K811" s="1472">
        <v>42868</v>
      </c>
      <c r="L811" s="1473"/>
      <c r="M811" s="1474">
        <v>0</v>
      </c>
      <c r="N811" s="1475">
        <v>1.3228305002075873</v>
      </c>
      <c r="O811" s="1475">
        <v>1.3313240838000817</v>
      </c>
    </row>
    <row r="812" spans="11:15">
      <c r="K812" s="1472">
        <v>42869</v>
      </c>
      <c r="L812" s="1473"/>
      <c r="M812" s="1474">
        <v>0</v>
      </c>
      <c r="N812" s="1475">
        <v>1.3228305002075873</v>
      </c>
      <c r="O812" s="1475">
        <v>1.3313240838000817</v>
      </c>
    </row>
    <row r="813" spans="11:15">
      <c r="K813" s="1472">
        <v>42870</v>
      </c>
      <c r="L813" s="1473" t="s">
        <v>2127</v>
      </c>
      <c r="M813" s="1474">
        <v>4.1957000000000001E-2</v>
      </c>
      <c r="N813" s="1475">
        <v>1.3233855202005596</v>
      </c>
      <c r="O813" s="1475">
        <v>1.3320234416545427</v>
      </c>
    </row>
    <row r="814" spans="11:15">
      <c r="K814" s="1472">
        <v>42871</v>
      </c>
      <c r="L814" s="1473" t="s">
        <v>2127</v>
      </c>
      <c r="M814" s="1474">
        <v>4.1957000000000001E-2</v>
      </c>
      <c r="N814" s="1475">
        <v>1.3239407730632702</v>
      </c>
      <c r="O814" s="1475">
        <v>1.3327231668886783</v>
      </c>
    </row>
    <row r="815" spans="11:15">
      <c r="K815" s="1472">
        <v>42872</v>
      </c>
      <c r="L815" s="1473" t="s">
        <v>2127</v>
      </c>
      <c r="M815" s="1474">
        <v>4.1957000000000001E-2</v>
      </c>
      <c r="N815" s="1475">
        <v>1.3244962588934244</v>
      </c>
      <c r="O815" s="1475">
        <v>1.3334232596954767</v>
      </c>
    </row>
    <row r="816" spans="11:15">
      <c r="K816" s="1472">
        <v>42873</v>
      </c>
      <c r="L816" s="1473" t="s">
        <v>2127</v>
      </c>
      <c r="M816" s="1474">
        <v>4.1957000000000001E-2</v>
      </c>
      <c r="N816" s="1475">
        <v>1.3250519777887684</v>
      </c>
      <c r="O816" s="1475">
        <v>1.3341237202680274</v>
      </c>
    </row>
    <row r="817" spans="11:15">
      <c r="K817" s="1472">
        <v>42874</v>
      </c>
      <c r="L817" s="1473" t="s">
        <v>2127</v>
      </c>
      <c r="M817" s="1474">
        <v>4.1957000000000001E-2</v>
      </c>
      <c r="N817" s="1475">
        <v>1.3256079298470893</v>
      </c>
      <c r="O817" s="1475">
        <v>1.3348245487995214</v>
      </c>
    </row>
    <row r="818" spans="11:15">
      <c r="K818" s="1472">
        <v>42875</v>
      </c>
      <c r="L818" s="1473"/>
      <c r="M818" s="1474">
        <v>0</v>
      </c>
      <c r="N818" s="1475">
        <v>1.3256079298470893</v>
      </c>
      <c r="O818" s="1475">
        <v>1.3348245487995214</v>
      </c>
    </row>
    <row r="819" spans="11:15">
      <c r="K819" s="1472">
        <v>42876</v>
      </c>
      <c r="L819" s="1473"/>
      <c r="M819" s="1474">
        <v>0</v>
      </c>
      <c r="N819" s="1475">
        <v>1.3256079298470893</v>
      </c>
      <c r="O819" s="1475">
        <v>1.3348245487995214</v>
      </c>
    </row>
    <row r="820" spans="11:15">
      <c r="K820" s="1472">
        <v>42877</v>
      </c>
      <c r="L820" s="1473" t="s">
        <v>2127</v>
      </c>
      <c r="M820" s="1474">
        <v>4.1957000000000001E-2</v>
      </c>
      <c r="N820" s="1475">
        <v>1.3261641151662154</v>
      </c>
      <c r="O820" s="1475">
        <v>1.3355257454832512</v>
      </c>
    </row>
    <row r="821" spans="11:15">
      <c r="K821" s="1472">
        <v>42878</v>
      </c>
      <c r="L821" s="1473" t="s">
        <v>2127</v>
      </c>
      <c r="M821" s="1474">
        <v>4.1957000000000001E-2</v>
      </c>
      <c r="N821" s="1475">
        <v>1.3267205338440158</v>
      </c>
      <c r="O821" s="1475">
        <v>1.336227310512611</v>
      </c>
    </row>
    <row r="822" spans="11:15">
      <c r="K822" s="1472">
        <v>42879</v>
      </c>
      <c r="L822" s="1473" t="s">
        <v>2127</v>
      </c>
      <c r="M822" s="1474">
        <v>4.1957000000000001E-2</v>
      </c>
      <c r="N822" s="1475">
        <v>1.3272771859784007</v>
      </c>
      <c r="O822" s="1475">
        <v>1.3369292440810965</v>
      </c>
    </row>
    <row r="823" spans="11:15">
      <c r="K823" s="1472">
        <v>42880</v>
      </c>
      <c r="L823" s="1473" t="s">
        <v>2127</v>
      </c>
      <c r="M823" s="1474">
        <v>4.1957000000000001E-2</v>
      </c>
      <c r="N823" s="1475">
        <v>1.3278340716673218</v>
      </c>
      <c r="O823" s="1475">
        <v>1.3376315463823047</v>
      </c>
    </row>
    <row r="824" spans="11:15">
      <c r="K824" s="1472">
        <v>42881</v>
      </c>
      <c r="L824" s="1473" t="s">
        <v>2127</v>
      </c>
      <c r="M824" s="1474">
        <v>4.1957000000000001E-2</v>
      </c>
      <c r="N824" s="1475">
        <v>1.3283911910087713</v>
      </c>
      <c r="O824" s="1475">
        <v>1.3383342176099349</v>
      </c>
    </row>
    <row r="825" spans="11:15">
      <c r="K825" s="1472">
        <v>42882</v>
      </c>
      <c r="L825" s="1473"/>
      <c r="M825" s="1474">
        <v>0</v>
      </c>
      <c r="N825" s="1475">
        <v>1.3283911910087713</v>
      </c>
      <c r="O825" s="1475">
        <v>1.3383342176099349</v>
      </c>
    </row>
    <row r="826" spans="11:15">
      <c r="K826" s="1472">
        <v>42883</v>
      </c>
      <c r="L826" s="1473"/>
      <c r="M826" s="1474">
        <v>0</v>
      </c>
      <c r="N826" s="1475">
        <v>1.3283911910087713</v>
      </c>
      <c r="O826" s="1475">
        <v>1.3383342176099349</v>
      </c>
    </row>
    <row r="827" spans="11:15">
      <c r="K827" s="1472">
        <v>42884</v>
      </c>
      <c r="L827" s="1473" t="s">
        <v>2127</v>
      </c>
      <c r="M827" s="1474">
        <v>4.1957000000000001E-2</v>
      </c>
      <c r="N827" s="1475">
        <v>1.3289485441007829</v>
      </c>
      <c r="O827" s="1475">
        <v>1.3390372579577876</v>
      </c>
    </row>
    <row r="828" spans="11:15">
      <c r="K828" s="1472">
        <v>42885</v>
      </c>
      <c r="L828" s="1473" t="s">
        <v>2127</v>
      </c>
      <c r="M828" s="1474">
        <v>4.1957000000000001E-2</v>
      </c>
      <c r="N828" s="1475">
        <v>1.3295061310414313</v>
      </c>
      <c r="O828" s="1475">
        <v>1.3397406676197654</v>
      </c>
    </row>
    <row r="829" spans="11:15">
      <c r="K829" s="1472">
        <v>42886</v>
      </c>
      <c r="L829" s="1473" t="s">
        <v>2127</v>
      </c>
      <c r="M829" s="1474">
        <v>4.1957000000000001E-2</v>
      </c>
      <c r="N829" s="1475">
        <v>1.3300639519288324</v>
      </c>
      <c r="O829" s="1475">
        <v>1.3404444467898728</v>
      </c>
    </row>
    <row r="830" spans="11:15">
      <c r="K830" s="1472">
        <v>42887</v>
      </c>
      <c r="L830" s="1473" t="s">
        <v>2127</v>
      </c>
      <c r="M830" s="1474">
        <v>3.8370000000000001E-2</v>
      </c>
      <c r="N830" s="1475">
        <v>1.3305742974671875</v>
      </c>
      <c r="O830" s="1475">
        <v>1.341148595662216</v>
      </c>
    </row>
    <row r="831" spans="11:15">
      <c r="K831" s="1472">
        <v>42888</v>
      </c>
      <c r="L831" s="1473" t="s">
        <v>2127</v>
      </c>
      <c r="M831" s="1474">
        <v>3.8370000000000001E-2</v>
      </c>
      <c r="N831" s="1475">
        <v>1.3310848388251255</v>
      </c>
      <c r="O831" s="1475">
        <v>1.3418531144310033</v>
      </c>
    </row>
    <row r="832" spans="11:15">
      <c r="K832" s="1472">
        <v>42889</v>
      </c>
      <c r="L832" s="1473"/>
      <c r="M832" s="1474">
        <v>0</v>
      </c>
      <c r="N832" s="1475">
        <v>1.3310848388251255</v>
      </c>
      <c r="O832" s="1475">
        <v>1.3418531144310033</v>
      </c>
    </row>
    <row r="833" spans="11:15">
      <c r="K833" s="1472">
        <v>42890</v>
      </c>
      <c r="L833" s="1473"/>
      <c r="M833" s="1474">
        <v>0</v>
      </c>
      <c r="N833" s="1475">
        <v>1.3310848388251255</v>
      </c>
      <c r="O833" s="1475">
        <v>1.3418531144310033</v>
      </c>
    </row>
    <row r="834" spans="11:15">
      <c r="K834" s="1472">
        <v>42891</v>
      </c>
      <c r="L834" s="1473" t="s">
        <v>2127</v>
      </c>
      <c r="M834" s="1474">
        <v>3.8370000000000001E-2</v>
      </c>
      <c r="N834" s="1475">
        <v>1.3315955760777827</v>
      </c>
      <c r="O834" s="1475">
        <v>1.3425580032905451</v>
      </c>
    </row>
    <row r="835" spans="11:15">
      <c r="K835" s="1472">
        <v>42892</v>
      </c>
      <c r="L835" s="1473" t="s">
        <v>2127</v>
      </c>
      <c r="M835" s="1474">
        <v>3.8370000000000001E-2</v>
      </c>
      <c r="N835" s="1475">
        <v>1.3321065093003237</v>
      </c>
      <c r="O835" s="1475">
        <v>1.3432632624352536</v>
      </c>
    </row>
    <row r="836" spans="11:15">
      <c r="K836" s="1472">
        <v>42893</v>
      </c>
      <c r="L836" s="1473" t="s">
        <v>2127</v>
      </c>
      <c r="M836" s="1474">
        <v>3.8370000000000001E-2</v>
      </c>
      <c r="N836" s="1475">
        <v>1.3326176385679422</v>
      </c>
      <c r="O836" s="1475">
        <v>1.3439688920596435</v>
      </c>
    </row>
    <row r="837" spans="11:15">
      <c r="K837" s="1472">
        <v>42894</v>
      </c>
      <c r="L837" s="1473" t="s">
        <v>2127</v>
      </c>
      <c r="M837" s="1474">
        <v>3.8370000000000001E-2</v>
      </c>
      <c r="N837" s="1475">
        <v>1.3331289639558608</v>
      </c>
      <c r="O837" s="1475">
        <v>1.3446748923583314</v>
      </c>
    </row>
    <row r="838" spans="11:15">
      <c r="K838" s="1472">
        <v>42895</v>
      </c>
      <c r="L838" s="1473" t="s">
        <v>2127</v>
      </c>
      <c r="M838" s="1474">
        <v>3.8370000000000001E-2</v>
      </c>
      <c r="N838" s="1475">
        <v>1.3336404855393307</v>
      </c>
      <c r="O838" s="1475">
        <v>1.345381263526036</v>
      </c>
    </row>
    <row r="839" spans="11:15">
      <c r="K839" s="1472">
        <v>42896</v>
      </c>
      <c r="L839" s="1473"/>
      <c r="M839" s="1474">
        <v>0</v>
      </c>
      <c r="N839" s="1475">
        <v>1.3336404855393307</v>
      </c>
      <c r="O839" s="1475">
        <v>1.345381263526036</v>
      </c>
    </row>
    <row r="840" spans="11:15">
      <c r="K840" s="1472">
        <v>42897</v>
      </c>
      <c r="L840" s="1473"/>
      <c r="M840" s="1474">
        <v>0</v>
      </c>
      <c r="N840" s="1475">
        <v>1.3336404855393307</v>
      </c>
      <c r="O840" s="1475">
        <v>1.345381263526036</v>
      </c>
    </row>
    <row r="841" spans="11:15">
      <c r="K841" s="1472">
        <v>42898</v>
      </c>
      <c r="L841" s="1473" t="s">
        <v>2127</v>
      </c>
      <c r="M841" s="1474">
        <v>3.8370000000000001E-2</v>
      </c>
      <c r="N841" s="1475">
        <v>1.3341522033936322</v>
      </c>
      <c r="O841" s="1475">
        <v>1.3460880057575788</v>
      </c>
    </row>
    <row r="842" spans="11:15">
      <c r="K842" s="1472">
        <v>42899</v>
      </c>
      <c r="L842" s="1473" t="s">
        <v>2127</v>
      </c>
      <c r="M842" s="1474">
        <v>3.8370000000000001E-2</v>
      </c>
      <c r="N842" s="1475">
        <v>1.3346641175940743</v>
      </c>
      <c r="O842" s="1475">
        <v>1.3467951192478833</v>
      </c>
    </row>
    <row r="843" spans="11:15">
      <c r="K843" s="1472">
        <v>42900</v>
      </c>
      <c r="L843" s="1473" t="s">
        <v>2127</v>
      </c>
      <c r="M843" s="1474">
        <v>3.8370000000000001E-2</v>
      </c>
      <c r="N843" s="1475">
        <v>1.3351762282159951</v>
      </c>
      <c r="O843" s="1475">
        <v>1.3475026041919753</v>
      </c>
    </row>
    <row r="844" spans="11:15">
      <c r="K844" s="1472">
        <v>42901</v>
      </c>
      <c r="L844" s="1473"/>
      <c r="M844" s="1474">
        <v>0</v>
      </c>
      <c r="N844" s="1475">
        <v>1.3351762282159951</v>
      </c>
      <c r="O844" s="1475">
        <v>1.3475026041919753</v>
      </c>
    </row>
    <row r="845" spans="11:15">
      <c r="K845" s="1472">
        <v>42902</v>
      </c>
      <c r="L845" s="1473" t="s">
        <v>2127</v>
      </c>
      <c r="M845" s="1474">
        <v>3.8370000000000001E-2</v>
      </c>
      <c r="N845" s="1475">
        <v>1.3356885353347616</v>
      </c>
      <c r="O845" s="1475">
        <v>1.3482104607849834</v>
      </c>
    </row>
    <row r="846" spans="11:15">
      <c r="K846" s="1472">
        <v>42903</v>
      </c>
      <c r="L846" s="1473"/>
      <c r="M846" s="1474">
        <v>0</v>
      </c>
      <c r="N846" s="1475">
        <v>1.3356885353347616</v>
      </c>
      <c r="O846" s="1475">
        <v>1.3482104607849834</v>
      </c>
    </row>
    <row r="847" spans="11:15">
      <c r="K847" s="1472">
        <v>42904</v>
      </c>
      <c r="L847" s="1473"/>
      <c r="M847" s="1474">
        <v>0</v>
      </c>
      <c r="N847" s="1475">
        <v>1.3356885353347616</v>
      </c>
      <c r="O847" s="1475">
        <v>1.3482104607849834</v>
      </c>
    </row>
    <row r="848" spans="11:15">
      <c r="K848" s="1472">
        <v>42905</v>
      </c>
      <c r="L848" s="1473" t="s">
        <v>2127</v>
      </c>
      <c r="M848" s="1474">
        <v>3.8370000000000001E-2</v>
      </c>
      <c r="N848" s="1475">
        <v>1.3362010390257695</v>
      </c>
      <c r="O848" s="1475">
        <v>1.3489186892221383</v>
      </c>
    </row>
    <row r="849" spans="11:15">
      <c r="K849" s="1472">
        <v>42906</v>
      </c>
      <c r="L849" s="1473" t="s">
        <v>2127</v>
      </c>
      <c r="M849" s="1474">
        <v>3.8370000000000001E-2</v>
      </c>
      <c r="N849" s="1475">
        <v>1.3367137393644437</v>
      </c>
      <c r="O849" s="1475">
        <v>1.3496272896987735</v>
      </c>
    </row>
    <row r="850" spans="11:15">
      <c r="K850" s="1472">
        <v>42907</v>
      </c>
      <c r="L850" s="1473" t="s">
        <v>2127</v>
      </c>
      <c r="M850" s="1474">
        <v>3.8370000000000001E-2</v>
      </c>
      <c r="N850" s="1475">
        <v>1.3372266364262377</v>
      </c>
      <c r="O850" s="1475">
        <v>1.3503362624103252</v>
      </c>
    </row>
    <row r="851" spans="11:15">
      <c r="K851" s="1472">
        <v>42908</v>
      </c>
      <c r="L851" s="1473" t="s">
        <v>2127</v>
      </c>
      <c r="M851" s="1474">
        <v>3.8370000000000001E-2</v>
      </c>
      <c r="N851" s="1475">
        <v>1.3377397302866345</v>
      </c>
      <c r="O851" s="1475">
        <v>1.3510456075523321</v>
      </c>
    </row>
    <row r="852" spans="11:15">
      <c r="K852" s="1472">
        <v>42909</v>
      </c>
      <c r="L852" s="1473" t="s">
        <v>2127</v>
      </c>
      <c r="M852" s="1474">
        <v>3.8370000000000001E-2</v>
      </c>
      <c r="N852" s="1475">
        <v>1.3382530210211454</v>
      </c>
      <c r="O852" s="1475">
        <v>1.3517553253204353</v>
      </c>
    </row>
    <row r="853" spans="11:15">
      <c r="K853" s="1472">
        <v>42910</v>
      </c>
      <c r="L853" s="1473"/>
      <c r="M853" s="1474">
        <v>0</v>
      </c>
      <c r="N853" s="1475">
        <v>1.3382530210211454</v>
      </c>
      <c r="O853" s="1475">
        <v>1.3517553253204353</v>
      </c>
    </row>
    <row r="854" spans="11:15">
      <c r="K854" s="1472">
        <v>42911</v>
      </c>
      <c r="L854" s="1473"/>
      <c r="M854" s="1474">
        <v>0</v>
      </c>
      <c r="N854" s="1475">
        <v>1.3382530210211454</v>
      </c>
      <c r="O854" s="1475">
        <v>1.3517553253204353</v>
      </c>
    </row>
    <row r="855" spans="11:15">
      <c r="K855" s="1472">
        <v>42912</v>
      </c>
      <c r="L855" s="1473" t="s">
        <v>2127</v>
      </c>
      <c r="M855" s="1474">
        <v>3.8370000000000001E-2</v>
      </c>
      <c r="N855" s="1475">
        <v>1.3387665087053111</v>
      </c>
      <c r="O855" s="1475">
        <v>1.3524654159103793</v>
      </c>
    </row>
    <row r="856" spans="11:15">
      <c r="K856" s="1472">
        <v>42913</v>
      </c>
      <c r="L856" s="1473" t="s">
        <v>2127</v>
      </c>
      <c r="M856" s="1474">
        <v>3.8370000000000001E-2</v>
      </c>
      <c r="N856" s="1475">
        <v>1.3392801934147014</v>
      </c>
      <c r="O856" s="1475">
        <v>1.3531758795180111</v>
      </c>
    </row>
    <row r="857" spans="11:15">
      <c r="K857" s="1472">
        <v>42914</v>
      </c>
      <c r="L857" s="1473" t="s">
        <v>2127</v>
      </c>
      <c r="M857" s="1474">
        <v>3.8370000000000001E-2</v>
      </c>
      <c r="N857" s="1475">
        <v>1.3397940752249147</v>
      </c>
      <c r="O857" s="1475">
        <v>1.3538867163392807</v>
      </c>
    </row>
    <row r="858" spans="11:15">
      <c r="K858" s="1472">
        <v>42915</v>
      </c>
      <c r="L858" s="1473" t="s">
        <v>2127</v>
      </c>
      <c r="M858" s="1474">
        <v>3.8370000000000001E-2</v>
      </c>
      <c r="N858" s="1475">
        <v>1.3403081542115785</v>
      </c>
      <c r="O858" s="1475">
        <v>1.3545979265702408</v>
      </c>
    </row>
    <row r="859" spans="11:15">
      <c r="K859" s="1472">
        <v>42916</v>
      </c>
      <c r="L859" s="1473" t="s">
        <v>2127</v>
      </c>
      <c r="M859" s="1474">
        <v>3.8370000000000001E-2</v>
      </c>
      <c r="N859" s="1475">
        <v>1.3408224304503493</v>
      </c>
      <c r="O859" s="1475">
        <v>1.3553095104070474</v>
      </c>
    </row>
    <row r="860" spans="11:15">
      <c r="K860" s="1472">
        <v>42917</v>
      </c>
      <c r="L860" s="1473"/>
      <c r="M860" s="1474">
        <v>0</v>
      </c>
      <c r="N860" s="1475">
        <v>1.3408224304503493</v>
      </c>
      <c r="O860" s="1475">
        <v>1.3553095104070474</v>
      </c>
    </row>
    <row r="861" spans="11:15">
      <c r="K861" s="1472">
        <v>42918</v>
      </c>
      <c r="L861" s="1473"/>
      <c r="M861" s="1474">
        <v>0</v>
      </c>
      <c r="N861" s="1475">
        <v>1.3408224304503493</v>
      </c>
      <c r="O861" s="1475">
        <v>1.3553095104070474</v>
      </c>
    </row>
    <row r="862" spans="11:15">
      <c r="K862" s="1472">
        <v>42919</v>
      </c>
      <c r="L862" s="1473" t="s">
        <v>2127</v>
      </c>
      <c r="M862" s="1474">
        <v>3.8370000000000001E-2</v>
      </c>
      <c r="N862" s="1475">
        <v>1.3413369040169132</v>
      </c>
      <c r="O862" s="1475">
        <v>1.3560214680459592</v>
      </c>
    </row>
    <row r="863" spans="11:15">
      <c r="K863" s="1472">
        <v>42920</v>
      </c>
      <c r="L863" s="1473" t="s">
        <v>2127</v>
      </c>
      <c r="M863" s="1474">
        <v>3.8370000000000001E-2</v>
      </c>
      <c r="N863" s="1475">
        <v>1.3418515749869844</v>
      </c>
      <c r="O863" s="1475">
        <v>1.3567337996833384</v>
      </c>
    </row>
    <row r="864" spans="11:15">
      <c r="K864" s="1472">
        <v>42921</v>
      </c>
      <c r="L864" s="1473" t="s">
        <v>2127</v>
      </c>
      <c r="M864" s="1474">
        <v>3.8370000000000001E-2</v>
      </c>
      <c r="N864" s="1475">
        <v>1.342366443436307</v>
      </c>
      <c r="O864" s="1475">
        <v>1.3574465055156502</v>
      </c>
    </row>
    <row r="865" spans="11:15">
      <c r="K865" s="1472">
        <v>42922</v>
      </c>
      <c r="L865" s="1473" t="s">
        <v>2127</v>
      </c>
      <c r="M865" s="1474">
        <v>3.8370000000000001E-2</v>
      </c>
      <c r="N865" s="1475">
        <v>1.3428815094406534</v>
      </c>
      <c r="O865" s="1475">
        <v>1.3581595857394626</v>
      </c>
    </row>
    <row r="866" spans="11:15">
      <c r="K866" s="1472">
        <v>42923</v>
      </c>
      <c r="L866" s="1473" t="s">
        <v>2127</v>
      </c>
      <c r="M866" s="1474">
        <v>3.8370000000000001E-2</v>
      </c>
      <c r="N866" s="1475">
        <v>1.3433967730758258</v>
      </c>
      <c r="O866" s="1475">
        <v>1.3588730405514473</v>
      </c>
    </row>
    <row r="867" spans="11:15">
      <c r="K867" s="1472">
        <v>42924</v>
      </c>
      <c r="L867" s="1473"/>
      <c r="M867" s="1474">
        <v>0</v>
      </c>
      <c r="N867" s="1475">
        <v>1.3433967730758258</v>
      </c>
      <c r="O867" s="1475">
        <v>1.3588730405514473</v>
      </c>
    </row>
    <row r="868" spans="11:15">
      <c r="K868" s="1472">
        <v>42925</v>
      </c>
      <c r="L868" s="1473"/>
      <c r="M868" s="1474">
        <v>0</v>
      </c>
      <c r="N868" s="1475">
        <v>1.3433967730758258</v>
      </c>
      <c r="O868" s="1475">
        <v>1.3588730405514473</v>
      </c>
    </row>
    <row r="869" spans="11:15">
      <c r="K869" s="1472">
        <v>42926</v>
      </c>
      <c r="L869" s="1473" t="s">
        <v>2127</v>
      </c>
      <c r="M869" s="1474">
        <v>3.8370000000000001E-2</v>
      </c>
      <c r="N869" s="1475">
        <v>1.3439122344176551</v>
      </c>
      <c r="O869" s="1475">
        <v>1.3595868701483793</v>
      </c>
    </row>
    <row r="870" spans="11:15">
      <c r="K870" s="1472">
        <v>42927</v>
      </c>
      <c r="L870" s="1473" t="s">
        <v>2127</v>
      </c>
      <c r="M870" s="1474">
        <v>3.8370000000000001E-2</v>
      </c>
      <c r="N870" s="1475">
        <v>1.3444278935420011</v>
      </c>
      <c r="O870" s="1475">
        <v>1.3603010747271369</v>
      </c>
    </row>
    <row r="871" spans="11:15">
      <c r="K871" s="1472">
        <v>42928</v>
      </c>
      <c r="L871" s="1473" t="s">
        <v>2127</v>
      </c>
      <c r="M871" s="1474">
        <v>3.8370000000000001E-2</v>
      </c>
      <c r="N871" s="1475">
        <v>1.3449437505247532</v>
      </c>
      <c r="O871" s="1475">
        <v>1.3610156544847019</v>
      </c>
    </row>
    <row r="872" spans="11:15">
      <c r="K872" s="1472">
        <v>42929</v>
      </c>
      <c r="L872" s="1473" t="s">
        <v>2127</v>
      </c>
      <c r="M872" s="1474">
        <v>3.8370000000000001E-2</v>
      </c>
      <c r="N872" s="1475">
        <v>1.3454598054418296</v>
      </c>
      <c r="O872" s="1475">
        <v>1.3617306096181592</v>
      </c>
    </row>
    <row r="873" spans="11:15">
      <c r="K873" s="1472">
        <v>42930</v>
      </c>
      <c r="L873" s="1473" t="s">
        <v>2127</v>
      </c>
      <c r="M873" s="1474">
        <v>3.8370000000000001E-2</v>
      </c>
      <c r="N873" s="1475">
        <v>1.3459760583691776</v>
      </c>
      <c r="O873" s="1475">
        <v>1.3624459403246978</v>
      </c>
    </row>
    <row r="874" spans="11:15">
      <c r="K874" s="1472">
        <v>42931</v>
      </c>
      <c r="L874" s="1473"/>
      <c r="M874" s="1474">
        <v>0</v>
      </c>
      <c r="N874" s="1475">
        <v>1.3459760583691776</v>
      </c>
      <c r="O874" s="1475">
        <v>1.3624459403246978</v>
      </c>
    </row>
    <row r="875" spans="11:15">
      <c r="K875" s="1472">
        <v>42932</v>
      </c>
      <c r="L875" s="1473"/>
      <c r="M875" s="1474">
        <v>0</v>
      </c>
      <c r="N875" s="1475">
        <v>1.3459760583691776</v>
      </c>
      <c r="O875" s="1475">
        <v>1.3624459403246978</v>
      </c>
    </row>
    <row r="876" spans="11:15">
      <c r="K876" s="1472">
        <v>42933</v>
      </c>
      <c r="L876" s="1473" t="s">
        <v>2127</v>
      </c>
      <c r="M876" s="1474">
        <v>3.8370000000000001E-2</v>
      </c>
      <c r="N876" s="1475">
        <v>1.3464925093827738</v>
      </c>
      <c r="O876" s="1475">
        <v>1.3631616468016097</v>
      </c>
    </row>
    <row r="877" spans="11:15">
      <c r="K877" s="1472">
        <v>42934</v>
      </c>
      <c r="L877" s="1473" t="s">
        <v>2127</v>
      </c>
      <c r="M877" s="1474">
        <v>3.8370000000000001E-2</v>
      </c>
      <c r="N877" s="1475">
        <v>1.3470091585586239</v>
      </c>
      <c r="O877" s="1475">
        <v>1.3638777292462911</v>
      </c>
    </row>
    <row r="878" spans="11:15">
      <c r="K878" s="1472">
        <v>42935</v>
      </c>
      <c r="L878" s="1473" t="s">
        <v>2127</v>
      </c>
      <c r="M878" s="1474">
        <v>3.8370000000000001E-2</v>
      </c>
      <c r="N878" s="1475">
        <v>1.3475260059727627</v>
      </c>
      <c r="O878" s="1475">
        <v>1.3645941878562415</v>
      </c>
    </row>
    <row r="879" spans="11:15">
      <c r="K879" s="1472">
        <v>42936</v>
      </c>
      <c r="L879" s="1473" t="s">
        <v>2127</v>
      </c>
      <c r="M879" s="1474">
        <v>3.8370000000000001E-2</v>
      </c>
      <c r="N879" s="1475">
        <v>1.3480430517012545</v>
      </c>
      <c r="O879" s="1475">
        <v>1.3653110228290644</v>
      </c>
    </row>
    <row r="880" spans="11:15">
      <c r="K880" s="1472">
        <v>42937</v>
      </c>
      <c r="L880" s="1473" t="s">
        <v>2127</v>
      </c>
      <c r="M880" s="1474">
        <v>3.8370000000000001E-2</v>
      </c>
      <c r="N880" s="1475">
        <v>1.3485602958201923</v>
      </c>
      <c r="O880" s="1475">
        <v>1.3660282343624668</v>
      </c>
    </row>
    <row r="881" spans="11:15">
      <c r="K881" s="1472">
        <v>42938</v>
      </c>
      <c r="L881" s="1473"/>
      <c r="M881" s="1474">
        <v>0</v>
      </c>
      <c r="N881" s="1475">
        <v>1.3485602958201923</v>
      </c>
      <c r="O881" s="1475">
        <v>1.3660282343624668</v>
      </c>
    </row>
    <row r="882" spans="11:15">
      <c r="K882" s="1472">
        <v>42939</v>
      </c>
      <c r="L882" s="1473"/>
      <c r="M882" s="1474">
        <v>0</v>
      </c>
      <c r="N882" s="1475">
        <v>1.3485602958201923</v>
      </c>
      <c r="O882" s="1475">
        <v>1.3660282343624668</v>
      </c>
    </row>
    <row r="883" spans="11:15">
      <c r="K883" s="1472">
        <v>42940</v>
      </c>
      <c r="L883" s="1473" t="s">
        <v>2127</v>
      </c>
      <c r="M883" s="1474">
        <v>3.8370000000000001E-2</v>
      </c>
      <c r="N883" s="1475">
        <v>1.3490777384056984</v>
      </c>
      <c r="O883" s="1475">
        <v>1.3667458226542597</v>
      </c>
    </row>
    <row r="884" spans="11:15">
      <c r="K884" s="1472">
        <v>42941</v>
      </c>
      <c r="L884" s="1473" t="s">
        <v>2127</v>
      </c>
      <c r="M884" s="1474">
        <v>3.8370000000000001E-2</v>
      </c>
      <c r="N884" s="1475">
        <v>1.3495953795339246</v>
      </c>
      <c r="O884" s="1475">
        <v>1.3674637879023581</v>
      </c>
    </row>
    <row r="885" spans="11:15">
      <c r="K885" s="1472">
        <v>42942</v>
      </c>
      <c r="L885" s="1473" t="s">
        <v>2127</v>
      </c>
      <c r="M885" s="1474">
        <v>3.8370000000000001E-2</v>
      </c>
      <c r="N885" s="1475">
        <v>1.3501132192810517</v>
      </c>
      <c r="O885" s="1475">
        <v>1.3681821303047812</v>
      </c>
    </row>
    <row r="886" spans="11:15">
      <c r="K886" s="1472">
        <v>42943</v>
      </c>
      <c r="L886" s="1473" t="s">
        <v>2127</v>
      </c>
      <c r="M886" s="1474">
        <v>3.4749000000000002E-2</v>
      </c>
      <c r="N886" s="1475">
        <v>1.3505823701236197</v>
      </c>
      <c r="O886" s="1475">
        <v>1.3689008500596516</v>
      </c>
    </row>
    <row r="887" spans="11:15">
      <c r="K887" s="1472">
        <v>42944</v>
      </c>
      <c r="L887" s="1473" t="s">
        <v>2127</v>
      </c>
      <c r="M887" s="1474">
        <v>3.4749000000000002E-2</v>
      </c>
      <c r="N887" s="1475">
        <v>1.351051683991414</v>
      </c>
      <c r="O887" s="1475">
        <v>1.3696199473651964</v>
      </c>
    </row>
    <row r="888" spans="11:15">
      <c r="K888" s="1472">
        <v>42945</v>
      </c>
      <c r="L888" s="1473"/>
      <c r="M888" s="1474">
        <v>0</v>
      </c>
      <c r="N888" s="1475">
        <v>1.351051683991414</v>
      </c>
      <c r="O888" s="1475">
        <v>1.3696199473651964</v>
      </c>
    </row>
    <row r="889" spans="11:15">
      <c r="K889" s="1472">
        <v>42946</v>
      </c>
      <c r="L889" s="1473"/>
      <c r="M889" s="1474">
        <v>0</v>
      </c>
      <c r="N889" s="1475">
        <v>1.351051683991414</v>
      </c>
      <c r="O889" s="1475">
        <v>1.3696199473651964</v>
      </c>
    </row>
    <row r="890" spans="11:15">
      <c r="K890" s="1472">
        <v>42947</v>
      </c>
      <c r="L890" s="1473" t="s">
        <v>2127</v>
      </c>
      <c r="M890" s="1474">
        <v>3.4749000000000002E-2</v>
      </c>
      <c r="N890" s="1475">
        <v>1.3515211609410842</v>
      </c>
      <c r="O890" s="1475">
        <v>1.3703394224197469</v>
      </c>
    </row>
    <row r="891" spans="11:15">
      <c r="K891" s="1472">
        <v>42948</v>
      </c>
      <c r="L891" s="1473" t="s">
        <v>2127</v>
      </c>
      <c r="M891" s="1474">
        <v>3.4749000000000002E-2</v>
      </c>
      <c r="N891" s="1475">
        <v>1.3519908010292996</v>
      </c>
      <c r="O891" s="1475">
        <v>1.3710592754217383</v>
      </c>
    </row>
    <row r="892" spans="11:15">
      <c r="K892" s="1472">
        <v>42949</v>
      </c>
      <c r="L892" s="1473" t="s">
        <v>2127</v>
      </c>
      <c r="M892" s="1474">
        <v>3.4749000000000002E-2</v>
      </c>
      <c r="N892" s="1475">
        <v>1.3524606043127492</v>
      </c>
      <c r="O892" s="1475">
        <v>1.37177950656971</v>
      </c>
    </row>
    <row r="893" spans="11:15">
      <c r="K893" s="1472">
        <v>42950</v>
      </c>
      <c r="L893" s="1473" t="s">
        <v>2127</v>
      </c>
      <c r="M893" s="1474">
        <v>3.4749000000000002E-2</v>
      </c>
      <c r="N893" s="1475">
        <v>1.3529305708481418</v>
      </c>
      <c r="O893" s="1475">
        <v>1.3725001160623063</v>
      </c>
    </row>
    <row r="894" spans="11:15">
      <c r="K894" s="1472">
        <v>42951</v>
      </c>
      <c r="L894" s="1473" t="s">
        <v>2127</v>
      </c>
      <c r="M894" s="1474">
        <v>3.4749000000000002E-2</v>
      </c>
      <c r="N894" s="1475">
        <v>1.353400700692206</v>
      </c>
      <c r="O894" s="1475">
        <v>1.3732211040982749</v>
      </c>
    </row>
    <row r="895" spans="11:15">
      <c r="K895" s="1472">
        <v>42952</v>
      </c>
      <c r="L895" s="1473"/>
      <c r="M895" s="1474">
        <v>0</v>
      </c>
      <c r="N895" s="1475">
        <v>1.353400700692206</v>
      </c>
      <c r="O895" s="1475">
        <v>1.3732211040982749</v>
      </c>
    </row>
    <row r="896" spans="11:15">
      <c r="K896" s="1472">
        <v>42953</v>
      </c>
      <c r="L896" s="1473"/>
      <c r="M896" s="1474">
        <v>0</v>
      </c>
      <c r="N896" s="1475">
        <v>1.353400700692206</v>
      </c>
      <c r="O896" s="1475">
        <v>1.3732211040982749</v>
      </c>
    </row>
    <row r="897" spans="11:15">
      <c r="K897" s="1472">
        <v>42954</v>
      </c>
      <c r="L897" s="1473" t="s">
        <v>2127</v>
      </c>
      <c r="M897" s="1474">
        <v>3.4749000000000002E-2</v>
      </c>
      <c r="N897" s="1475">
        <v>1.3538709939016895</v>
      </c>
      <c r="O897" s="1475">
        <v>1.3739424708764687</v>
      </c>
    </row>
    <row r="898" spans="11:15">
      <c r="K898" s="1472">
        <v>42955</v>
      </c>
      <c r="L898" s="1473" t="s">
        <v>2127</v>
      </c>
      <c r="M898" s="1474">
        <v>3.4749000000000002E-2</v>
      </c>
      <c r="N898" s="1475">
        <v>1.3543414505333604</v>
      </c>
      <c r="O898" s="1475">
        <v>1.3746642165958449</v>
      </c>
    </row>
    <row r="899" spans="11:15">
      <c r="K899" s="1472">
        <v>42956</v>
      </c>
      <c r="L899" s="1473" t="s">
        <v>2127</v>
      </c>
      <c r="M899" s="1474">
        <v>3.4749000000000002E-2</v>
      </c>
      <c r="N899" s="1475">
        <v>1.3548120706440063</v>
      </c>
      <c r="O899" s="1475">
        <v>1.3753863414554648</v>
      </c>
    </row>
    <row r="900" spans="11:15">
      <c r="K900" s="1472">
        <v>42957</v>
      </c>
      <c r="L900" s="1473" t="s">
        <v>2127</v>
      </c>
      <c r="M900" s="1474">
        <v>3.4749000000000002E-2</v>
      </c>
      <c r="N900" s="1475">
        <v>1.3552828542904345</v>
      </c>
      <c r="O900" s="1475">
        <v>1.3761088456544948</v>
      </c>
    </row>
    <row r="901" spans="11:15">
      <c r="K901" s="1472">
        <v>42958</v>
      </c>
      <c r="L901" s="1473" t="s">
        <v>2127</v>
      </c>
      <c r="M901" s="1474">
        <v>3.4749000000000002E-2</v>
      </c>
      <c r="N901" s="1475">
        <v>1.3557538015294719</v>
      </c>
      <c r="O901" s="1475">
        <v>1.3768317293922054</v>
      </c>
    </row>
    <row r="902" spans="11:15">
      <c r="K902" s="1472">
        <v>42959</v>
      </c>
      <c r="L902" s="1473"/>
      <c r="M902" s="1474">
        <v>0</v>
      </c>
      <c r="N902" s="1475">
        <v>1.3557538015294719</v>
      </c>
      <c r="O902" s="1475">
        <v>1.3768317293922054</v>
      </c>
    </row>
    <row r="903" spans="11:15">
      <c r="K903" s="1472">
        <v>42960</v>
      </c>
      <c r="L903" s="1473"/>
      <c r="M903" s="1474">
        <v>0</v>
      </c>
      <c r="N903" s="1475">
        <v>1.3557538015294719</v>
      </c>
      <c r="O903" s="1475">
        <v>1.3768317293922054</v>
      </c>
    </row>
    <row r="904" spans="11:15">
      <c r="K904" s="1472">
        <v>42961</v>
      </c>
      <c r="L904" s="1473" t="s">
        <v>2127</v>
      </c>
      <c r="M904" s="1474">
        <v>3.4749000000000002E-2</v>
      </c>
      <c r="N904" s="1475">
        <v>1.3562249124179653</v>
      </c>
      <c r="O904" s="1475">
        <v>1.3775549928679724</v>
      </c>
    </row>
    <row r="905" spans="11:15">
      <c r="K905" s="1472">
        <v>42962</v>
      </c>
      <c r="L905" s="1473" t="s">
        <v>2127</v>
      </c>
      <c r="M905" s="1474">
        <v>3.4749000000000002E-2</v>
      </c>
      <c r="N905" s="1475">
        <v>1.3566961870127814</v>
      </c>
      <c r="O905" s="1475">
        <v>1.378278636281276</v>
      </c>
    </row>
    <row r="906" spans="11:15">
      <c r="K906" s="1472">
        <v>42963</v>
      </c>
      <c r="L906" s="1473" t="s">
        <v>2127</v>
      </c>
      <c r="M906" s="1474">
        <v>3.4749000000000002E-2</v>
      </c>
      <c r="N906" s="1475">
        <v>1.3571676253708065</v>
      </c>
      <c r="O906" s="1475">
        <v>1.3790026598317009</v>
      </c>
    </row>
    <row r="907" spans="11:15">
      <c r="K907" s="1472">
        <v>42964</v>
      </c>
      <c r="L907" s="1473" t="s">
        <v>2127</v>
      </c>
      <c r="M907" s="1474">
        <v>3.4749000000000002E-2</v>
      </c>
      <c r="N907" s="1475">
        <v>1.3576392275489466</v>
      </c>
      <c r="O907" s="1475">
        <v>1.3797270637189372</v>
      </c>
    </row>
    <row r="908" spans="11:15">
      <c r="K908" s="1472">
        <v>42965</v>
      </c>
      <c r="L908" s="1473" t="s">
        <v>2127</v>
      </c>
      <c r="M908" s="1474">
        <v>3.4749000000000002E-2</v>
      </c>
      <c r="N908" s="1475">
        <v>1.3581109936041276</v>
      </c>
      <c r="O908" s="1475">
        <v>1.3804518481427794</v>
      </c>
    </row>
    <row r="909" spans="11:15">
      <c r="K909" s="1472">
        <v>42966</v>
      </c>
      <c r="L909" s="1473"/>
      <c r="M909" s="1474">
        <v>0</v>
      </c>
      <c r="N909" s="1475">
        <v>1.3581109936041276</v>
      </c>
      <c r="O909" s="1475">
        <v>1.3804518481427794</v>
      </c>
    </row>
    <row r="910" spans="11:15">
      <c r="K910" s="1472">
        <v>42967</v>
      </c>
      <c r="L910" s="1473"/>
      <c r="M910" s="1474">
        <v>0</v>
      </c>
      <c r="N910" s="1475">
        <v>1.3581109936041276</v>
      </c>
      <c r="O910" s="1475">
        <v>1.3804518481427794</v>
      </c>
    </row>
    <row r="911" spans="11:15">
      <c r="K911" s="1472">
        <v>42968</v>
      </c>
      <c r="L911" s="1473" t="s">
        <v>2127</v>
      </c>
      <c r="M911" s="1474">
        <v>3.4749000000000002E-2</v>
      </c>
      <c r="N911" s="1475">
        <v>1.3585829235932951</v>
      </c>
      <c r="O911" s="1475">
        <v>1.3811770133031274</v>
      </c>
    </row>
    <row r="912" spans="11:15">
      <c r="K912" s="1472">
        <v>42969</v>
      </c>
      <c r="L912" s="1473" t="s">
        <v>2127</v>
      </c>
      <c r="M912" s="1474">
        <v>3.4749000000000002E-2</v>
      </c>
      <c r="N912" s="1475">
        <v>1.3590550175734146</v>
      </c>
      <c r="O912" s="1475">
        <v>1.3819025593999856</v>
      </c>
    </row>
    <row r="913" spans="11:15">
      <c r="K913" s="1472">
        <v>42970</v>
      </c>
      <c r="L913" s="1473" t="s">
        <v>2127</v>
      </c>
      <c r="M913" s="1474">
        <v>3.4749000000000002E-2</v>
      </c>
      <c r="N913" s="1475">
        <v>1.3595272756014711</v>
      </c>
      <c r="O913" s="1475">
        <v>1.3826284866334639</v>
      </c>
    </row>
    <row r="914" spans="11:15">
      <c r="K914" s="1472">
        <v>42971</v>
      </c>
      <c r="L914" s="1473" t="s">
        <v>2127</v>
      </c>
      <c r="M914" s="1474">
        <v>3.4749000000000002E-2</v>
      </c>
      <c r="N914" s="1475">
        <v>1.3599996977344699</v>
      </c>
      <c r="O914" s="1475">
        <v>1.3833547952037775</v>
      </c>
    </row>
    <row r="915" spans="11:15">
      <c r="K915" s="1472">
        <v>42972</v>
      </c>
      <c r="L915" s="1473" t="s">
        <v>2127</v>
      </c>
      <c r="M915" s="1474">
        <v>3.4749000000000002E-2</v>
      </c>
      <c r="N915" s="1475">
        <v>1.3604722840294357</v>
      </c>
      <c r="O915" s="1475">
        <v>1.384081485311246</v>
      </c>
    </row>
    <row r="916" spans="11:15">
      <c r="K916" s="1472">
        <v>42973</v>
      </c>
      <c r="L916" s="1473"/>
      <c r="M916" s="1474">
        <v>0</v>
      </c>
      <c r="N916" s="1475">
        <v>1.3604722840294357</v>
      </c>
      <c r="O916" s="1475">
        <v>1.384081485311246</v>
      </c>
    </row>
    <row r="917" spans="11:15">
      <c r="K917" s="1472">
        <v>42974</v>
      </c>
      <c r="L917" s="1473"/>
      <c r="M917" s="1474">
        <v>0</v>
      </c>
      <c r="N917" s="1475">
        <v>1.3604722840294357</v>
      </c>
      <c r="O917" s="1475">
        <v>1.384081485311246</v>
      </c>
    </row>
    <row r="918" spans="11:15">
      <c r="K918" s="1472">
        <v>42975</v>
      </c>
      <c r="L918" s="1473" t="s">
        <v>2127</v>
      </c>
      <c r="M918" s="1474">
        <v>3.4749000000000002E-2</v>
      </c>
      <c r="N918" s="1475">
        <v>1.3609450345434131</v>
      </c>
      <c r="O918" s="1475">
        <v>1.3848085571562949</v>
      </c>
    </row>
    <row r="919" spans="11:15">
      <c r="K919" s="1472">
        <v>42976</v>
      </c>
      <c r="L919" s="1473" t="s">
        <v>2127</v>
      </c>
      <c r="M919" s="1474">
        <v>3.4749000000000002E-2</v>
      </c>
      <c r="N919" s="1475">
        <v>1.3614179493334666</v>
      </c>
      <c r="O919" s="1475">
        <v>1.3855360109394548</v>
      </c>
    </row>
    <row r="920" spans="11:15">
      <c r="K920" s="1472">
        <v>42977</v>
      </c>
      <c r="L920" s="1473" t="s">
        <v>2127</v>
      </c>
      <c r="M920" s="1474">
        <v>3.4749000000000002E-2</v>
      </c>
      <c r="N920" s="1475">
        <v>1.3618910284566805</v>
      </c>
      <c r="O920" s="1475">
        <v>1.3862638468613613</v>
      </c>
    </row>
    <row r="921" spans="11:15">
      <c r="K921" s="1472">
        <v>42978</v>
      </c>
      <c r="L921" s="1473" t="s">
        <v>2127</v>
      </c>
      <c r="M921" s="1474">
        <v>3.4749000000000002E-2</v>
      </c>
      <c r="N921" s="1475">
        <v>1.362364271970159</v>
      </c>
      <c r="O921" s="1475">
        <v>1.3869920651227561</v>
      </c>
    </row>
    <row r="922" spans="11:15">
      <c r="K922" s="1472">
        <v>42979</v>
      </c>
      <c r="L922" s="1473" t="s">
        <v>2127</v>
      </c>
      <c r="M922" s="1474">
        <v>3.4749000000000002E-2</v>
      </c>
      <c r="N922" s="1475">
        <v>1.3628376799310258</v>
      </c>
      <c r="O922" s="1475">
        <v>1.3877206659244856</v>
      </c>
    </row>
    <row r="923" spans="11:15">
      <c r="K923" s="1472">
        <v>42980</v>
      </c>
      <c r="L923" s="1473"/>
      <c r="M923" s="1474">
        <v>0</v>
      </c>
      <c r="N923" s="1475">
        <v>1.3628376799310258</v>
      </c>
      <c r="O923" s="1475">
        <v>1.3877206659244856</v>
      </c>
    </row>
    <row r="924" spans="11:15">
      <c r="K924" s="1472">
        <v>42981</v>
      </c>
      <c r="L924" s="1473"/>
      <c r="M924" s="1474">
        <v>0</v>
      </c>
      <c r="N924" s="1475">
        <v>1.3628376799310258</v>
      </c>
      <c r="O924" s="1475">
        <v>1.3877206659244856</v>
      </c>
    </row>
    <row r="925" spans="11:15">
      <c r="K925" s="1472">
        <v>42982</v>
      </c>
      <c r="L925" s="1473" t="s">
        <v>2127</v>
      </c>
      <c r="M925" s="1474">
        <v>3.4749000000000002E-2</v>
      </c>
      <c r="N925" s="1475">
        <v>1.363311252396425</v>
      </c>
      <c r="O925" s="1475">
        <v>1.3884496494675025</v>
      </c>
    </row>
    <row r="926" spans="11:15">
      <c r="K926" s="1472">
        <v>42983</v>
      </c>
      <c r="L926" s="1473" t="s">
        <v>2127</v>
      </c>
      <c r="M926" s="1474">
        <v>3.4749000000000002E-2</v>
      </c>
      <c r="N926" s="1475">
        <v>1.3637849894235203</v>
      </c>
      <c r="O926" s="1475">
        <v>1.3891790159528643</v>
      </c>
    </row>
    <row r="927" spans="11:15">
      <c r="K927" s="1472">
        <v>42984</v>
      </c>
      <c r="L927" s="1473" t="s">
        <v>2127</v>
      </c>
      <c r="M927" s="1474">
        <v>3.4749000000000002E-2</v>
      </c>
      <c r="N927" s="1475">
        <v>1.364258891069495</v>
      </c>
      <c r="O927" s="1475">
        <v>1.3899087655817346</v>
      </c>
    </row>
    <row r="928" spans="11:15">
      <c r="K928" s="1472">
        <v>42985</v>
      </c>
      <c r="L928" s="1473"/>
      <c r="M928" s="1474">
        <v>0</v>
      </c>
      <c r="N928" s="1475">
        <v>1.364258891069495</v>
      </c>
      <c r="O928" s="1475">
        <v>1.3899087655817346</v>
      </c>
    </row>
    <row r="929" spans="11:15">
      <c r="K929" s="1472">
        <v>42986</v>
      </c>
      <c r="L929" s="1473" t="s">
        <v>2127</v>
      </c>
      <c r="M929" s="1474">
        <v>3.1095999999999999E-2</v>
      </c>
      <c r="N929" s="1475">
        <v>1.364683121014262</v>
      </c>
      <c r="O929" s="1475">
        <v>1.3906388985553824</v>
      </c>
    </row>
    <row r="930" spans="11:15">
      <c r="K930" s="1472">
        <v>42987</v>
      </c>
      <c r="L930" s="1473"/>
      <c r="M930" s="1474">
        <v>0</v>
      </c>
      <c r="N930" s="1475">
        <v>1.364683121014262</v>
      </c>
      <c r="O930" s="1475">
        <v>1.3906388985553824</v>
      </c>
    </row>
    <row r="931" spans="11:15">
      <c r="K931" s="1472">
        <v>42988</v>
      </c>
      <c r="L931" s="1473"/>
      <c r="M931" s="1474">
        <v>0</v>
      </c>
      <c r="N931" s="1475">
        <v>1.364683121014262</v>
      </c>
      <c r="O931" s="1475">
        <v>1.3906388985553824</v>
      </c>
    </row>
    <row r="932" spans="11:15">
      <c r="K932" s="1472">
        <v>42989</v>
      </c>
      <c r="L932" s="1473" t="s">
        <v>2127</v>
      </c>
      <c r="M932" s="1474">
        <v>3.1095999999999999E-2</v>
      </c>
      <c r="N932" s="1475">
        <v>1.3651074828775727</v>
      </c>
      <c r="O932" s="1475">
        <v>1.3913694150751825</v>
      </c>
    </row>
    <row r="933" spans="11:15">
      <c r="K933" s="1472">
        <v>42990</v>
      </c>
      <c r="L933" s="1473" t="s">
        <v>2127</v>
      </c>
      <c r="M933" s="1474">
        <v>3.1095999999999999E-2</v>
      </c>
      <c r="N933" s="1475">
        <v>1.3655319767004481</v>
      </c>
      <c r="O933" s="1475">
        <v>1.3921003153426157</v>
      </c>
    </row>
    <row r="934" spans="11:15">
      <c r="K934" s="1472">
        <v>42991</v>
      </c>
      <c r="L934" s="1473" t="s">
        <v>2127</v>
      </c>
      <c r="M934" s="1474">
        <v>3.1095999999999999E-2</v>
      </c>
      <c r="N934" s="1475">
        <v>1.3659566025239229</v>
      </c>
      <c r="O934" s="1475">
        <v>1.3928315995592684</v>
      </c>
    </row>
    <row r="935" spans="11:15">
      <c r="K935" s="1472">
        <v>42992</v>
      </c>
      <c r="L935" s="1473" t="s">
        <v>2127</v>
      </c>
      <c r="M935" s="1474">
        <v>3.1095999999999999E-2</v>
      </c>
      <c r="N935" s="1475">
        <v>1.3663813603890438</v>
      </c>
      <c r="O935" s="1475">
        <v>1.3935632679268328</v>
      </c>
    </row>
    <row r="936" spans="11:15">
      <c r="K936" s="1472">
        <v>42993</v>
      </c>
      <c r="L936" s="1473" t="s">
        <v>2127</v>
      </c>
      <c r="M936" s="1474">
        <v>3.1095999999999999E-2</v>
      </c>
      <c r="N936" s="1475">
        <v>1.3668062503368703</v>
      </c>
      <c r="O936" s="1475">
        <v>1.3942953206471074</v>
      </c>
    </row>
    <row r="937" spans="11:15">
      <c r="K937" s="1472">
        <v>42994</v>
      </c>
      <c r="L937" s="1473"/>
      <c r="M937" s="1474">
        <v>0</v>
      </c>
      <c r="N937" s="1475">
        <v>1.3668062503368703</v>
      </c>
      <c r="O937" s="1475">
        <v>1.3942953206471074</v>
      </c>
    </row>
    <row r="938" spans="11:15">
      <c r="K938" s="1472">
        <v>42995</v>
      </c>
      <c r="L938" s="1473"/>
      <c r="M938" s="1474">
        <v>0</v>
      </c>
      <c r="N938" s="1475">
        <v>1.3668062503368703</v>
      </c>
      <c r="O938" s="1475">
        <v>1.3942953206471074</v>
      </c>
    </row>
    <row r="939" spans="11:15">
      <c r="K939" s="1472">
        <v>42996</v>
      </c>
      <c r="L939" s="1473" t="s">
        <v>2127</v>
      </c>
      <c r="M939" s="1474">
        <v>3.1095999999999999E-2</v>
      </c>
      <c r="N939" s="1475">
        <v>1.367231272408475</v>
      </c>
      <c r="O939" s="1475">
        <v>1.3950277579219965</v>
      </c>
    </row>
    <row r="940" spans="11:15">
      <c r="K940" s="1472">
        <v>42997</v>
      </c>
      <c r="L940" s="1473" t="s">
        <v>2127</v>
      </c>
      <c r="M940" s="1474">
        <v>3.1095999999999999E-2</v>
      </c>
      <c r="N940" s="1475">
        <v>1.3676564266449431</v>
      </c>
      <c r="O940" s="1475">
        <v>1.3957605799535104</v>
      </c>
    </row>
    <row r="941" spans="11:15">
      <c r="K941" s="1472">
        <v>42998</v>
      </c>
      <c r="L941" s="1473" t="s">
        <v>2127</v>
      </c>
      <c r="M941" s="1474">
        <v>3.1095999999999999E-2</v>
      </c>
      <c r="N941" s="1475">
        <v>1.3680817130873726</v>
      </c>
      <c r="O941" s="1475">
        <v>1.3964937869437659</v>
      </c>
    </row>
    <row r="942" spans="11:15">
      <c r="K942" s="1472">
        <v>42999</v>
      </c>
      <c r="L942" s="1473" t="s">
        <v>2127</v>
      </c>
      <c r="M942" s="1474">
        <v>3.1095999999999999E-2</v>
      </c>
      <c r="N942" s="1475">
        <v>1.3685071317768742</v>
      </c>
      <c r="O942" s="1475">
        <v>1.3972273790949854</v>
      </c>
    </row>
    <row r="943" spans="11:15">
      <c r="K943" s="1472">
        <v>43000</v>
      </c>
      <c r="L943" s="1473" t="s">
        <v>2127</v>
      </c>
      <c r="M943" s="1474">
        <v>3.1095999999999999E-2</v>
      </c>
      <c r="N943" s="1475">
        <v>1.3689326827545716</v>
      </c>
      <c r="O943" s="1475">
        <v>1.3979613566094977</v>
      </c>
    </row>
    <row r="944" spans="11:15">
      <c r="K944" s="1472">
        <v>43001</v>
      </c>
      <c r="L944" s="1473"/>
      <c r="M944" s="1474">
        <v>0</v>
      </c>
      <c r="N944" s="1475">
        <v>1.3689326827545716</v>
      </c>
      <c r="O944" s="1475">
        <v>1.3979613566094977</v>
      </c>
    </row>
    <row r="945" spans="11:15">
      <c r="K945" s="1472">
        <v>43002</v>
      </c>
      <c r="L945" s="1473"/>
      <c r="M945" s="1474">
        <v>0</v>
      </c>
      <c r="N945" s="1475">
        <v>1.3689326827545716</v>
      </c>
      <c r="O945" s="1475">
        <v>1.3979613566094977</v>
      </c>
    </row>
    <row r="946" spans="11:15">
      <c r="K946" s="1472">
        <v>43003</v>
      </c>
      <c r="L946" s="1473" t="s">
        <v>2127</v>
      </c>
      <c r="M946" s="1474">
        <v>3.1095999999999999E-2</v>
      </c>
      <c r="N946" s="1475">
        <v>1.3693583660616009</v>
      </c>
      <c r="O946" s="1475">
        <v>1.3986957196897383</v>
      </c>
    </row>
    <row r="947" spans="11:15">
      <c r="K947" s="1472">
        <v>43004</v>
      </c>
      <c r="L947" s="1473" t="s">
        <v>2127</v>
      </c>
      <c r="M947" s="1474">
        <v>3.1095999999999999E-2</v>
      </c>
      <c r="N947" s="1475">
        <v>1.3697841817391114</v>
      </c>
      <c r="O947" s="1475">
        <v>1.3994304685382486</v>
      </c>
    </row>
    <row r="948" spans="11:15">
      <c r="K948" s="1472">
        <v>43005</v>
      </c>
      <c r="L948" s="1473" t="s">
        <v>2127</v>
      </c>
      <c r="M948" s="1474">
        <v>3.1095999999999999E-2</v>
      </c>
      <c r="N948" s="1475">
        <v>1.370210129828265</v>
      </c>
      <c r="O948" s="1475">
        <v>1.4001656033576764</v>
      </c>
    </row>
    <row r="949" spans="11:15">
      <c r="K949" s="1472">
        <v>43006</v>
      </c>
      <c r="L949" s="1473" t="s">
        <v>2127</v>
      </c>
      <c r="M949" s="1474">
        <v>3.1095999999999999E-2</v>
      </c>
      <c r="N949" s="1475">
        <v>1.3706362103702363</v>
      </c>
      <c r="O949" s="1475">
        <v>1.4009011243507763</v>
      </c>
    </row>
    <row r="950" spans="11:15">
      <c r="K950" s="1472">
        <v>43007</v>
      </c>
      <c r="L950" s="1473" t="s">
        <v>2127</v>
      </c>
      <c r="M950" s="1474">
        <v>3.1095999999999999E-2</v>
      </c>
      <c r="N950" s="1475">
        <v>1.371062423406213</v>
      </c>
      <c r="O950" s="1475">
        <v>1.401637031720409</v>
      </c>
    </row>
    <row r="951" spans="11:15">
      <c r="K951" s="1472">
        <v>43008</v>
      </c>
      <c r="L951" s="1473"/>
      <c r="M951" s="1474">
        <v>0</v>
      </c>
      <c r="N951" s="1475">
        <v>1.371062423406213</v>
      </c>
      <c r="O951" s="1475">
        <v>1.401637031720409</v>
      </c>
    </row>
    <row r="952" spans="11:15">
      <c r="K952" s="1472">
        <v>43009</v>
      </c>
      <c r="L952" s="1473"/>
      <c r="M952" s="1474">
        <v>0</v>
      </c>
      <c r="N952" s="1475">
        <v>1.371062423406213</v>
      </c>
      <c r="O952" s="1475">
        <v>1.401637031720409</v>
      </c>
    </row>
    <row r="953" spans="11:15">
      <c r="K953" s="1472">
        <v>43010</v>
      </c>
      <c r="L953" s="1473" t="s">
        <v>2127</v>
      </c>
      <c r="M953" s="1474">
        <v>3.1095999999999999E-2</v>
      </c>
      <c r="N953" s="1475">
        <v>1.3714887689773954</v>
      </c>
      <c r="O953" s="1475">
        <v>1.4023733256695421</v>
      </c>
    </row>
    <row r="954" spans="11:15">
      <c r="K954" s="1472">
        <v>43011</v>
      </c>
      <c r="L954" s="1473" t="s">
        <v>2127</v>
      </c>
      <c r="M954" s="1474">
        <v>3.1095999999999999E-2</v>
      </c>
      <c r="N954" s="1475">
        <v>1.3719152471249965</v>
      </c>
      <c r="O954" s="1475">
        <v>1.4031100064012496</v>
      </c>
    </row>
    <row r="955" spans="11:15">
      <c r="K955" s="1472">
        <v>43012</v>
      </c>
      <c r="L955" s="1473" t="s">
        <v>2127</v>
      </c>
      <c r="M955" s="1474">
        <v>3.1095999999999999E-2</v>
      </c>
      <c r="N955" s="1475">
        <v>1.3723418578902424</v>
      </c>
      <c r="O955" s="1475">
        <v>1.4038470741187123</v>
      </c>
    </row>
    <row r="956" spans="11:15">
      <c r="K956" s="1472">
        <v>43013</v>
      </c>
      <c r="L956" s="1473" t="s">
        <v>2127</v>
      </c>
      <c r="M956" s="1474">
        <v>3.1095999999999999E-2</v>
      </c>
      <c r="N956" s="1475">
        <v>1.3727686013143718</v>
      </c>
      <c r="O956" s="1475">
        <v>1.4045845290252177</v>
      </c>
    </row>
    <row r="957" spans="11:15">
      <c r="K957" s="1472">
        <v>43014</v>
      </c>
      <c r="L957" s="1473" t="s">
        <v>2127</v>
      </c>
      <c r="M957" s="1474">
        <v>3.1095999999999999E-2</v>
      </c>
      <c r="N957" s="1475">
        <v>1.3731954774386366</v>
      </c>
      <c r="O957" s="1475">
        <v>1.4053223713241598</v>
      </c>
    </row>
    <row r="958" spans="11:15">
      <c r="K958" s="1472">
        <v>43015</v>
      </c>
      <c r="L958" s="1473"/>
      <c r="M958" s="1474">
        <v>0</v>
      </c>
      <c r="N958" s="1475">
        <v>1.3731954774386366</v>
      </c>
      <c r="O958" s="1475">
        <v>1.4053223713241598</v>
      </c>
    </row>
    <row r="959" spans="11:15">
      <c r="K959" s="1472">
        <v>43016</v>
      </c>
      <c r="L959" s="1473"/>
      <c r="M959" s="1474">
        <v>0</v>
      </c>
      <c r="N959" s="1475">
        <v>1.3731954774386366</v>
      </c>
      <c r="O959" s="1475">
        <v>1.4053223713241598</v>
      </c>
    </row>
    <row r="960" spans="11:15">
      <c r="K960" s="1472">
        <v>43017</v>
      </c>
      <c r="L960" s="1473" t="s">
        <v>2127</v>
      </c>
      <c r="M960" s="1474">
        <v>3.1095999999999999E-2</v>
      </c>
      <c r="N960" s="1475">
        <v>1.3736224863043009</v>
      </c>
      <c r="O960" s="1475">
        <v>1.4060606012190402</v>
      </c>
    </row>
    <row r="961" spans="11:15">
      <c r="K961" s="1472">
        <v>43018</v>
      </c>
      <c r="L961" s="1473" t="s">
        <v>2127</v>
      </c>
      <c r="M961" s="1474">
        <v>3.1095999999999999E-2</v>
      </c>
      <c r="N961" s="1475">
        <v>1.3740496279526422</v>
      </c>
      <c r="O961" s="1475">
        <v>1.4067992189134666</v>
      </c>
    </row>
    <row r="962" spans="11:15">
      <c r="K962" s="1472">
        <v>43019</v>
      </c>
      <c r="L962" s="1473" t="s">
        <v>2127</v>
      </c>
      <c r="M962" s="1474">
        <v>3.1095999999999999E-2</v>
      </c>
      <c r="N962" s="1475">
        <v>1.3744769024249504</v>
      </c>
      <c r="O962" s="1475">
        <v>1.4075382246111541</v>
      </c>
    </row>
    <row r="963" spans="11:15">
      <c r="K963" s="1472">
        <v>43020</v>
      </c>
      <c r="L963" s="1473"/>
      <c r="M963" s="1474">
        <v>0</v>
      </c>
      <c r="N963" s="1475">
        <v>1.3744769024249504</v>
      </c>
      <c r="O963" s="1475">
        <v>1.4075382246111541</v>
      </c>
    </row>
    <row r="964" spans="11:15">
      <c r="K964" s="1472">
        <v>43021</v>
      </c>
      <c r="L964" s="1473" t="s">
        <v>2127</v>
      </c>
      <c r="M964" s="1474">
        <v>3.1095999999999999E-2</v>
      </c>
      <c r="N964" s="1475">
        <v>1.3749043097625284</v>
      </c>
      <c r="O964" s="1475">
        <v>1.4082776185159245</v>
      </c>
    </row>
    <row r="965" spans="11:15">
      <c r="K965" s="1472">
        <v>43022</v>
      </c>
      <c r="L965" s="1473"/>
      <c r="M965" s="1474">
        <v>0</v>
      </c>
      <c r="N965" s="1475">
        <v>1.3749043097625284</v>
      </c>
      <c r="O965" s="1475">
        <v>1.4082776185159245</v>
      </c>
    </row>
    <row r="966" spans="11:15">
      <c r="K966" s="1472">
        <v>43023</v>
      </c>
      <c r="L966" s="1473"/>
      <c r="M966" s="1474">
        <v>0</v>
      </c>
      <c r="N966" s="1475">
        <v>1.3749043097625284</v>
      </c>
      <c r="O966" s="1475">
        <v>1.4082776185159245</v>
      </c>
    </row>
    <row r="967" spans="11:15">
      <c r="K967" s="1472">
        <v>43024</v>
      </c>
      <c r="L967" s="1473" t="s">
        <v>2127</v>
      </c>
      <c r="M967" s="1474">
        <v>3.1095999999999999E-2</v>
      </c>
      <c r="N967" s="1475">
        <v>1.3753318500066922</v>
      </c>
      <c r="O967" s="1475">
        <v>1.4090174008317071</v>
      </c>
    </row>
    <row r="968" spans="11:15">
      <c r="K968" s="1472">
        <v>43025</v>
      </c>
      <c r="L968" s="1473" t="s">
        <v>2127</v>
      </c>
      <c r="M968" s="1474">
        <v>3.1095999999999999E-2</v>
      </c>
      <c r="N968" s="1475">
        <v>1.3757595231987703</v>
      </c>
      <c r="O968" s="1475">
        <v>1.4097575717625381</v>
      </c>
    </row>
    <row r="969" spans="11:15">
      <c r="K969" s="1472">
        <v>43026</v>
      </c>
      <c r="L969" s="1473" t="s">
        <v>2127</v>
      </c>
      <c r="M969" s="1474">
        <v>3.1095999999999999E-2</v>
      </c>
      <c r="N969" s="1475">
        <v>1.3761873293801041</v>
      </c>
      <c r="O969" s="1475">
        <v>1.4104981315125606</v>
      </c>
    </row>
    <row r="970" spans="11:15">
      <c r="K970" s="1472">
        <v>43027</v>
      </c>
      <c r="L970" s="1473" t="s">
        <v>2127</v>
      </c>
      <c r="M970" s="1474">
        <v>3.1095999999999999E-2</v>
      </c>
      <c r="N970" s="1475">
        <v>1.3766152685920481</v>
      </c>
      <c r="O970" s="1475">
        <v>1.4112390802860255</v>
      </c>
    </row>
    <row r="971" spans="11:15">
      <c r="K971" s="1472">
        <v>43028</v>
      </c>
      <c r="L971" s="1473" t="s">
        <v>2127</v>
      </c>
      <c r="M971" s="1474">
        <v>3.1095999999999999E-2</v>
      </c>
      <c r="N971" s="1475">
        <v>1.3770433408759695</v>
      </c>
      <c r="O971" s="1475">
        <v>1.4119804182872906</v>
      </c>
    </row>
    <row r="972" spans="11:15">
      <c r="K972" s="1472">
        <v>43029</v>
      </c>
      <c r="L972" s="1473"/>
      <c r="M972" s="1474">
        <v>0</v>
      </c>
      <c r="N972" s="1475">
        <v>1.3770433408759695</v>
      </c>
      <c r="O972" s="1475">
        <v>1.4119804182872906</v>
      </c>
    </row>
    <row r="973" spans="11:15">
      <c r="K973" s="1472">
        <v>43030</v>
      </c>
      <c r="L973" s="1473"/>
      <c r="M973" s="1474">
        <v>0</v>
      </c>
      <c r="N973" s="1475">
        <v>1.3770433408759695</v>
      </c>
      <c r="O973" s="1475">
        <v>1.4119804182872906</v>
      </c>
    </row>
    <row r="974" spans="11:15">
      <c r="K974" s="1472">
        <v>43031</v>
      </c>
      <c r="L974" s="1473" t="s">
        <v>2127</v>
      </c>
      <c r="M974" s="1474">
        <v>3.1095999999999999E-2</v>
      </c>
      <c r="N974" s="1475">
        <v>1.3774715462732483</v>
      </c>
      <c r="O974" s="1475">
        <v>1.412722145720821</v>
      </c>
    </row>
    <row r="975" spans="11:15">
      <c r="K975" s="1472">
        <v>43032</v>
      </c>
      <c r="L975" s="1473" t="s">
        <v>2127</v>
      </c>
      <c r="M975" s="1474">
        <v>3.1095999999999999E-2</v>
      </c>
      <c r="N975" s="1475">
        <v>1.3778998848252775</v>
      </c>
      <c r="O975" s="1475">
        <v>1.4134642627911895</v>
      </c>
    </row>
    <row r="976" spans="11:15">
      <c r="K976" s="1472">
        <v>43033</v>
      </c>
      <c r="L976" s="1473" t="s">
        <v>2127</v>
      </c>
      <c r="M976" s="1474">
        <v>3.1095999999999999E-2</v>
      </c>
      <c r="N976" s="1475">
        <v>1.3783283565734628</v>
      </c>
      <c r="O976" s="1475">
        <v>1.4142067697030765</v>
      </c>
    </row>
    <row r="977" spans="11:15">
      <c r="K977" s="1472">
        <v>43034</v>
      </c>
      <c r="L977" s="1473" t="s">
        <v>2127</v>
      </c>
      <c r="M977" s="1474">
        <v>2.8333000000000001E-2</v>
      </c>
      <c r="N977" s="1475">
        <v>1.3787188783467308</v>
      </c>
      <c r="O977" s="1475">
        <v>1.4149496666612691</v>
      </c>
    </row>
    <row r="978" spans="11:15">
      <c r="K978" s="1472">
        <v>43035</v>
      </c>
      <c r="L978" s="1473" t="s">
        <v>2127</v>
      </c>
      <c r="M978" s="1474">
        <v>2.8333000000000001E-2</v>
      </c>
      <c r="N978" s="1475">
        <v>1.3791095107665328</v>
      </c>
      <c r="O978" s="1475">
        <v>1.4156929538706629</v>
      </c>
    </row>
    <row r="979" spans="11:15">
      <c r="K979" s="1472">
        <v>43036</v>
      </c>
      <c r="L979" s="1473"/>
      <c r="M979" s="1474">
        <v>0</v>
      </c>
      <c r="N979" s="1475">
        <v>1.3791095107665328</v>
      </c>
      <c r="O979" s="1475">
        <v>1.4156929538706629</v>
      </c>
    </row>
    <row r="980" spans="11:15">
      <c r="K980" s="1472">
        <v>43037</v>
      </c>
      <c r="L980" s="1473"/>
      <c r="M980" s="1474">
        <v>0</v>
      </c>
      <c r="N980" s="1475">
        <v>1.3791095107665328</v>
      </c>
      <c r="O980" s="1475">
        <v>1.4156929538706629</v>
      </c>
    </row>
    <row r="981" spans="11:15">
      <c r="K981" s="1472">
        <v>43038</v>
      </c>
      <c r="L981" s="1473" t="s">
        <v>2127</v>
      </c>
      <c r="M981" s="1474">
        <v>2.8333000000000001E-2</v>
      </c>
      <c r="N981" s="1475">
        <v>1.3795002538642183</v>
      </c>
      <c r="O981" s="1475">
        <v>1.4164366315362606</v>
      </c>
    </row>
    <row r="982" spans="11:15">
      <c r="K982" s="1472">
        <v>43039</v>
      </c>
      <c r="L982" s="1473" t="s">
        <v>2127</v>
      </c>
      <c r="M982" s="1474">
        <v>2.8333000000000001E-2</v>
      </c>
      <c r="N982" s="1475">
        <v>1.3798911076711458</v>
      </c>
      <c r="O982" s="1475">
        <v>1.4171806998631729</v>
      </c>
    </row>
    <row r="983" spans="11:15">
      <c r="K983" s="1472">
        <v>43040</v>
      </c>
      <c r="L983" s="1473" t="s">
        <v>2127</v>
      </c>
      <c r="M983" s="1474">
        <v>2.8333000000000001E-2</v>
      </c>
      <c r="N983" s="1475">
        <v>1.3802820722186822</v>
      </c>
      <c r="O983" s="1475">
        <v>1.417925159056618</v>
      </c>
    </row>
    <row r="984" spans="11:15">
      <c r="K984" s="1472">
        <v>43041</v>
      </c>
      <c r="L984" s="1473"/>
      <c r="M984" s="1474">
        <v>0</v>
      </c>
      <c r="N984" s="1475">
        <v>1.3802820722186822</v>
      </c>
      <c r="O984" s="1475">
        <v>1.417925159056618</v>
      </c>
    </row>
    <row r="985" spans="11:15">
      <c r="K985" s="1472">
        <v>43042</v>
      </c>
      <c r="L985" s="1473" t="s">
        <v>2127</v>
      </c>
      <c r="M985" s="1474">
        <v>2.8333000000000001E-2</v>
      </c>
      <c r="N985" s="1475">
        <v>1.3806731475382039</v>
      </c>
      <c r="O985" s="1475">
        <v>1.418670009321922</v>
      </c>
    </row>
    <row r="986" spans="11:15">
      <c r="K986" s="1472">
        <v>43043</v>
      </c>
      <c r="L986" s="1473"/>
      <c r="M986" s="1474">
        <v>0</v>
      </c>
      <c r="N986" s="1475">
        <v>1.3806731475382039</v>
      </c>
      <c r="O986" s="1475">
        <v>1.418670009321922</v>
      </c>
    </row>
    <row r="987" spans="11:15">
      <c r="K987" s="1472">
        <v>43044</v>
      </c>
      <c r="L987" s="1473"/>
      <c r="M987" s="1474">
        <v>0</v>
      </c>
      <c r="N987" s="1475">
        <v>1.3806731475382039</v>
      </c>
      <c r="O987" s="1475">
        <v>1.418670009321922</v>
      </c>
    </row>
    <row r="988" spans="11:15">
      <c r="K988" s="1472">
        <v>43045</v>
      </c>
      <c r="L988" s="1473" t="s">
        <v>2127</v>
      </c>
      <c r="M988" s="1474">
        <v>2.8333000000000001E-2</v>
      </c>
      <c r="N988" s="1475">
        <v>1.3810643336610959</v>
      </c>
      <c r="O988" s="1475">
        <v>1.4194152508645188</v>
      </c>
    </row>
    <row r="989" spans="11:15">
      <c r="K989" s="1472">
        <v>43046</v>
      </c>
      <c r="L989" s="1473" t="s">
        <v>2127</v>
      </c>
      <c r="M989" s="1474">
        <v>2.8333000000000001E-2</v>
      </c>
      <c r="N989" s="1475">
        <v>1.3814556306187522</v>
      </c>
      <c r="O989" s="1475">
        <v>1.4201608838899504</v>
      </c>
    </row>
    <row r="990" spans="11:15">
      <c r="K990" s="1472">
        <v>43047</v>
      </c>
      <c r="L990" s="1473" t="s">
        <v>2127</v>
      </c>
      <c r="M990" s="1474">
        <v>2.8333000000000001E-2</v>
      </c>
      <c r="N990" s="1475">
        <v>1.3818470384425754</v>
      </c>
      <c r="O990" s="1475">
        <v>1.4209069086038666</v>
      </c>
    </row>
    <row r="991" spans="11:15">
      <c r="K991" s="1472">
        <v>43048</v>
      </c>
      <c r="L991" s="1473" t="s">
        <v>2127</v>
      </c>
      <c r="M991" s="1474">
        <v>2.8333000000000001E-2</v>
      </c>
      <c r="N991" s="1475">
        <v>1.3822385571639773</v>
      </c>
      <c r="O991" s="1475">
        <v>1.4216533252120254</v>
      </c>
    </row>
    <row r="992" spans="11:15">
      <c r="K992" s="1472">
        <v>43049</v>
      </c>
      <c r="L992" s="1473" t="s">
        <v>2127</v>
      </c>
      <c r="M992" s="1474">
        <v>2.8333000000000001E-2</v>
      </c>
      <c r="N992" s="1475">
        <v>1.3826301868143787</v>
      </c>
      <c r="O992" s="1475">
        <v>1.4224001339202925</v>
      </c>
    </row>
    <row r="993" spans="11:15">
      <c r="K993" s="1472">
        <v>43050</v>
      </c>
      <c r="L993" s="1473"/>
      <c r="M993" s="1474">
        <v>0</v>
      </c>
      <c r="N993" s="1475">
        <v>1.3826301868143787</v>
      </c>
      <c r="O993" s="1475">
        <v>1.4224001339202925</v>
      </c>
    </row>
    <row r="994" spans="11:15">
      <c r="K994" s="1472">
        <v>43051</v>
      </c>
      <c r="L994" s="1473"/>
      <c r="M994" s="1474">
        <v>0</v>
      </c>
      <c r="N994" s="1475">
        <v>1.3826301868143787</v>
      </c>
      <c r="O994" s="1475">
        <v>1.4224001339202925</v>
      </c>
    </row>
    <row r="995" spans="11:15">
      <c r="K995" s="1472">
        <v>43052</v>
      </c>
      <c r="L995" s="1473" t="s">
        <v>2127</v>
      </c>
      <c r="M995" s="1474">
        <v>2.8333000000000001E-2</v>
      </c>
      <c r="N995" s="1475">
        <v>1.3830219274252089</v>
      </c>
      <c r="O995" s="1475">
        <v>1.4231473349346422</v>
      </c>
    </row>
    <row r="996" spans="11:15">
      <c r="K996" s="1472">
        <v>43053</v>
      </c>
      <c r="L996" s="1473" t="s">
        <v>2127</v>
      </c>
      <c r="M996" s="1474">
        <v>2.8333000000000001E-2</v>
      </c>
      <c r="N996" s="1475">
        <v>1.3834137790279064</v>
      </c>
      <c r="O996" s="1475">
        <v>1.4238949284611566</v>
      </c>
    </row>
    <row r="997" spans="11:15">
      <c r="K997" s="1472">
        <v>43054</v>
      </c>
      <c r="L997" s="1473"/>
      <c r="M997" s="1474">
        <v>0</v>
      </c>
      <c r="N997" s="1475">
        <v>1.3834137790279064</v>
      </c>
      <c r="O997" s="1475">
        <v>1.4238949284611566</v>
      </c>
    </row>
    <row r="998" spans="11:15">
      <c r="K998" s="1472">
        <v>43055</v>
      </c>
      <c r="L998" s="1473" t="s">
        <v>2127</v>
      </c>
      <c r="M998" s="1474">
        <v>2.8333000000000001E-2</v>
      </c>
      <c r="N998" s="1475">
        <v>1.3838057416539185</v>
      </c>
      <c r="O998" s="1475">
        <v>1.4246429147060264</v>
      </c>
    </row>
    <row r="999" spans="11:15">
      <c r="K999" s="1472">
        <v>43056</v>
      </c>
      <c r="L999" s="1473" t="s">
        <v>2127</v>
      </c>
      <c r="M999" s="1474">
        <v>2.8333000000000001E-2</v>
      </c>
      <c r="N999" s="1475">
        <v>1.3841978153347012</v>
      </c>
      <c r="O999" s="1475">
        <v>1.4253912938755506</v>
      </c>
    </row>
    <row r="1000" spans="11:15">
      <c r="K1000" s="1472">
        <v>43057</v>
      </c>
      <c r="L1000" s="1473"/>
      <c r="M1000" s="1474">
        <v>0</v>
      </c>
      <c r="N1000" s="1475">
        <v>1.3841978153347012</v>
      </c>
      <c r="O1000" s="1475">
        <v>1.4253912938755506</v>
      </c>
    </row>
    <row r="1001" spans="11:15">
      <c r="K1001" s="1472">
        <v>43058</v>
      </c>
      <c r="L1001" s="1473"/>
      <c r="M1001" s="1474">
        <v>0</v>
      </c>
      <c r="N1001" s="1475">
        <v>1.3841978153347012</v>
      </c>
      <c r="O1001" s="1475">
        <v>1.4253912938755506</v>
      </c>
    </row>
    <row r="1002" spans="11:15">
      <c r="K1002" s="1472">
        <v>43059</v>
      </c>
      <c r="L1002" s="1473" t="s">
        <v>2127</v>
      </c>
      <c r="M1002" s="1474">
        <v>2.8333000000000001E-2</v>
      </c>
      <c r="N1002" s="1475">
        <v>1.38459000010172</v>
      </c>
      <c r="O1002" s="1475">
        <v>1.4261400661761363</v>
      </c>
    </row>
    <row r="1003" spans="11:15">
      <c r="K1003" s="1472">
        <v>43060</v>
      </c>
      <c r="L1003" s="1473" t="s">
        <v>2127</v>
      </c>
      <c r="M1003" s="1474">
        <v>2.8333000000000001E-2</v>
      </c>
      <c r="N1003" s="1475">
        <v>1.3849822959864488</v>
      </c>
      <c r="O1003" s="1475">
        <v>1.4268892318142994</v>
      </c>
    </row>
    <row r="1004" spans="11:15">
      <c r="K1004" s="1472">
        <v>43061</v>
      </c>
      <c r="L1004" s="1473" t="s">
        <v>2127</v>
      </c>
      <c r="M1004" s="1474">
        <v>2.8333000000000001E-2</v>
      </c>
      <c r="N1004" s="1475">
        <v>1.3853747030203707</v>
      </c>
      <c r="O1004" s="1475">
        <v>1.4276387909966637</v>
      </c>
    </row>
    <row r="1005" spans="11:15">
      <c r="K1005" s="1472">
        <v>43062</v>
      </c>
      <c r="L1005" s="1473" t="s">
        <v>2127</v>
      </c>
      <c r="M1005" s="1474">
        <v>2.8333000000000001E-2</v>
      </c>
      <c r="N1005" s="1475">
        <v>1.3857672212349774</v>
      </c>
      <c r="O1005" s="1475">
        <v>1.4283887439299621</v>
      </c>
    </row>
    <row r="1006" spans="11:15">
      <c r="K1006" s="1472">
        <v>43063</v>
      </c>
      <c r="L1006" s="1473" t="s">
        <v>2127</v>
      </c>
      <c r="M1006" s="1474">
        <v>2.8333000000000001E-2</v>
      </c>
      <c r="N1006" s="1475">
        <v>1.3861598506617701</v>
      </c>
      <c r="O1006" s="1475">
        <v>1.429139090821036</v>
      </c>
    </row>
    <row r="1007" spans="11:15">
      <c r="K1007" s="1472">
        <v>43064</v>
      </c>
      <c r="L1007" s="1473"/>
      <c r="M1007" s="1474">
        <v>0</v>
      </c>
      <c r="N1007" s="1475">
        <v>1.3861598506617701</v>
      </c>
      <c r="O1007" s="1475">
        <v>1.429139090821036</v>
      </c>
    </row>
    <row r="1008" spans="11:15">
      <c r="K1008" s="1472">
        <v>43065</v>
      </c>
      <c r="L1008" s="1473"/>
      <c r="M1008" s="1474">
        <v>0</v>
      </c>
      <c r="N1008" s="1475">
        <v>1.3861598506617701</v>
      </c>
      <c r="O1008" s="1475">
        <v>1.429139090821036</v>
      </c>
    </row>
    <row r="1009" spans="11:15">
      <c r="K1009" s="1472">
        <v>43066</v>
      </c>
      <c r="L1009" s="1473" t="s">
        <v>2127</v>
      </c>
      <c r="M1009" s="1474">
        <v>2.8333000000000001E-2</v>
      </c>
      <c r="N1009" s="1475">
        <v>1.3865525913322581</v>
      </c>
      <c r="O1009" s="1475">
        <v>1.4298898318768352</v>
      </c>
    </row>
    <row r="1010" spans="11:15">
      <c r="K1010" s="1472">
        <v>43067</v>
      </c>
      <c r="L1010" s="1473" t="s">
        <v>2127</v>
      </c>
      <c r="M1010" s="1474">
        <v>2.8333000000000001E-2</v>
      </c>
      <c r="N1010" s="1475">
        <v>1.3869454432779602</v>
      </c>
      <c r="O1010" s="1475">
        <v>1.4306409673044185</v>
      </c>
    </row>
    <row r="1011" spans="11:15">
      <c r="K1011" s="1472">
        <v>43068</v>
      </c>
      <c r="L1011" s="1473" t="s">
        <v>2127</v>
      </c>
      <c r="M1011" s="1474">
        <v>2.8333000000000001E-2</v>
      </c>
      <c r="N1011" s="1475">
        <v>1.3873384065304042</v>
      </c>
      <c r="O1011" s="1475">
        <v>1.4313924973109531</v>
      </c>
    </row>
    <row r="1012" spans="11:15">
      <c r="K1012" s="1472">
        <v>43069</v>
      </c>
      <c r="L1012" s="1473" t="s">
        <v>2127</v>
      </c>
      <c r="M1012" s="1474">
        <v>2.8333000000000001E-2</v>
      </c>
      <c r="N1012" s="1475">
        <v>1.3877314811211265</v>
      </c>
      <c r="O1012" s="1475">
        <v>1.4321444221037154</v>
      </c>
    </row>
    <row r="1013" spans="11:15">
      <c r="K1013" s="1472">
        <v>43070</v>
      </c>
      <c r="L1013" s="1473" t="s">
        <v>2127</v>
      </c>
      <c r="M1013" s="1474">
        <v>2.8333000000000001E-2</v>
      </c>
      <c r="N1013" s="1475">
        <v>1.3881246670816727</v>
      </c>
      <c r="O1013" s="1475">
        <v>1.4328967418900906</v>
      </c>
    </row>
    <row r="1014" spans="11:15">
      <c r="K1014" s="1472">
        <v>43071</v>
      </c>
      <c r="L1014" s="1473"/>
      <c r="M1014" s="1474">
        <v>0</v>
      </c>
      <c r="N1014" s="1475">
        <v>1.3881246670816727</v>
      </c>
      <c r="O1014" s="1475">
        <v>1.4328967418900906</v>
      </c>
    </row>
    <row r="1015" spans="11:15">
      <c r="K1015" s="1472">
        <v>43072</v>
      </c>
      <c r="L1015" s="1473"/>
      <c r="M1015" s="1474">
        <v>0</v>
      </c>
      <c r="N1015" s="1475">
        <v>1.3881246670816727</v>
      </c>
      <c r="O1015" s="1475">
        <v>1.4328967418900906</v>
      </c>
    </row>
    <row r="1016" spans="11:15">
      <c r="K1016" s="1472">
        <v>43073</v>
      </c>
      <c r="L1016" s="1473" t="s">
        <v>2127</v>
      </c>
      <c r="M1016" s="1474">
        <v>2.8333000000000001E-2</v>
      </c>
      <c r="N1016" s="1475">
        <v>1.388517964443597</v>
      </c>
      <c r="O1016" s="1475">
        <v>1.4336494568775728</v>
      </c>
    </row>
    <row r="1017" spans="11:15">
      <c r="K1017" s="1472">
        <v>43074</v>
      </c>
      <c r="L1017" s="1473" t="s">
        <v>2127</v>
      </c>
      <c r="M1017" s="1474">
        <v>2.8333000000000001E-2</v>
      </c>
      <c r="N1017" s="1475">
        <v>1.3889113732384628</v>
      </c>
      <c r="O1017" s="1475">
        <v>1.4344025672737652</v>
      </c>
    </row>
    <row r="1018" spans="11:15">
      <c r="K1018" s="1472">
        <v>43075</v>
      </c>
      <c r="L1018" s="1473" t="s">
        <v>2127</v>
      </c>
      <c r="M1018" s="1474">
        <v>2.8333000000000001E-2</v>
      </c>
      <c r="N1018" s="1475">
        <v>1.3893048934978425</v>
      </c>
      <c r="O1018" s="1475">
        <v>1.4351560732863797</v>
      </c>
    </row>
    <row r="1019" spans="11:15">
      <c r="K1019" s="1472">
        <v>43076</v>
      </c>
      <c r="L1019" s="1473" t="s">
        <v>2127</v>
      </c>
      <c r="M1019" s="1474">
        <v>2.6481000000000001E-2</v>
      </c>
      <c r="N1019" s="1475">
        <v>1.3896727953266896</v>
      </c>
      <c r="O1019" s="1475">
        <v>1.4359099751232378</v>
      </c>
    </row>
    <row r="1020" spans="11:15">
      <c r="K1020" s="1472">
        <v>43077</v>
      </c>
      <c r="L1020" s="1473" t="s">
        <v>2127</v>
      </c>
      <c r="M1020" s="1474">
        <v>2.6481000000000001E-2</v>
      </c>
      <c r="N1020" s="1475">
        <v>1.39004079457962</v>
      </c>
      <c r="O1020" s="1475">
        <v>1.4366642729922698</v>
      </c>
    </row>
    <row r="1021" spans="11:15">
      <c r="K1021" s="1472">
        <v>43078</v>
      </c>
      <c r="L1021" s="1473"/>
      <c r="M1021" s="1474">
        <v>0</v>
      </c>
      <c r="N1021" s="1475">
        <v>1.39004079457962</v>
      </c>
      <c r="O1021" s="1475">
        <v>1.4366642729922698</v>
      </c>
    </row>
    <row r="1022" spans="11:15">
      <c r="K1022" s="1472">
        <v>43079</v>
      </c>
      <c r="L1022" s="1473"/>
      <c r="M1022" s="1474">
        <v>0</v>
      </c>
      <c r="N1022" s="1475">
        <v>1.39004079457962</v>
      </c>
      <c r="O1022" s="1475">
        <v>1.4366642729922698</v>
      </c>
    </row>
    <row r="1023" spans="11:15">
      <c r="K1023" s="1472">
        <v>43080</v>
      </c>
      <c r="L1023" s="1473" t="s">
        <v>2127</v>
      </c>
      <c r="M1023" s="1474">
        <v>2.6481000000000001E-2</v>
      </c>
      <c r="N1023" s="1475">
        <v>1.3904088912824326</v>
      </c>
      <c r="O1023" s="1475">
        <v>1.4374189671015154</v>
      </c>
    </row>
    <row r="1024" spans="11:15">
      <c r="K1024" s="1472">
        <v>43081</v>
      </c>
      <c r="L1024" s="1473" t="s">
        <v>2127</v>
      </c>
      <c r="M1024" s="1474">
        <v>2.6481000000000001E-2</v>
      </c>
      <c r="N1024" s="1475">
        <v>1.3907770854609331</v>
      </c>
      <c r="O1024" s="1475">
        <v>1.4381740576591235</v>
      </c>
    </row>
    <row r="1025" spans="11:15">
      <c r="K1025" s="1472">
        <v>43082</v>
      </c>
      <c r="L1025" s="1473" t="s">
        <v>2127</v>
      </c>
      <c r="M1025" s="1474">
        <v>2.6481000000000001E-2</v>
      </c>
      <c r="N1025" s="1475">
        <v>1.3911453771409341</v>
      </c>
      <c r="O1025" s="1475">
        <v>1.4389295448733526</v>
      </c>
    </row>
    <row r="1026" spans="11:15">
      <c r="K1026" s="1472">
        <v>43083</v>
      </c>
      <c r="L1026" s="1473" t="s">
        <v>2127</v>
      </c>
      <c r="M1026" s="1474">
        <v>2.6481000000000001E-2</v>
      </c>
      <c r="N1026" s="1475">
        <v>1.3915137663482549</v>
      </c>
      <c r="O1026" s="1475">
        <v>1.43968542895257</v>
      </c>
    </row>
    <row r="1027" spans="11:15">
      <c r="K1027" s="1472">
        <v>43084</v>
      </c>
      <c r="L1027" s="1473" t="s">
        <v>2127</v>
      </c>
      <c r="M1027" s="1474">
        <v>2.6481000000000001E-2</v>
      </c>
      <c r="N1027" s="1475">
        <v>1.3918822531087216</v>
      </c>
      <c r="O1027" s="1475">
        <v>1.4404417101052531</v>
      </c>
    </row>
    <row r="1028" spans="11:15">
      <c r="K1028" s="1472">
        <v>43085</v>
      </c>
      <c r="L1028" s="1473"/>
      <c r="M1028" s="1474">
        <v>0</v>
      </c>
      <c r="N1028" s="1475">
        <v>1.3918822531087216</v>
      </c>
      <c r="O1028" s="1475">
        <v>1.4404417101052531</v>
      </c>
    </row>
    <row r="1029" spans="11:15">
      <c r="K1029" s="1472">
        <v>43086</v>
      </c>
      <c r="L1029" s="1473"/>
      <c r="M1029" s="1474">
        <v>0</v>
      </c>
      <c r="N1029" s="1475">
        <v>1.3918822531087216</v>
      </c>
      <c r="O1029" s="1475">
        <v>1.4404417101052531</v>
      </c>
    </row>
    <row r="1030" spans="11:15">
      <c r="K1030" s="1472">
        <v>43087</v>
      </c>
      <c r="L1030" s="1473" t="s">
        <v>2127</v>
      </c>
      <c r="M1030" s="1474">
        <v>2.6481000000000001E-2</v>
      </c>
      <c r="N1030" s="1475">
        <v>1.3922508374481672</v>
      </c>
      <c r="O1030" s="1475">
        <v>1.4411983885399886</v>
      </c>
    </row>
    <row r="1031" spans="11:15">
      <c r="K1031" s="1472">
        <v>43088</v>
      </c>
      <c r="L1031" s="1473" t="s">
        <v>2127</v>
      </c>
      <c r="M1031" s="1474">
        <v>2.6481000000000001E-2</v>
      </c>
      <c r="N1031" s="1475">
        <v>1.392619519392432</v>
      </c>
      <c r="O1031" s="1475">
        <v>1.4419554644654726</v>
      </c>
    </row>
    <row r="1032" spans="11:15">
      <c r="K1032" s="1472">
        <v>43089</v>
      </c>
      <c r="L1032" s="1473" t="s">
        <v>2127</v>
      </c>
      <c r="M1032" s="1474">
        <v>2.6481000000000001E-2</v>
      </c>
      <c r="N1032" s="1475">
        <v>1.3929882989673623</v>
      </c>
      <c r="O1032" s="1475">
        <v>1.442712938090511</v>
      </c>
    </row>
    <row r="1033" spans="11:15">
      <c r="K1033" s="1472">
        <v>43090</v>
      </c>
      <c r="L1033" s="1473" t="s">
        <v>2127</v>
      </c>
      <c r="M1033" s="1474">
        <v>2.6481000000000001E-2</v>
      </c>
      <c r="N1033" s="1475">
        <v>1.3933571761988119</v>
      </c>
      <c r="O1033" s="1475">
        <v>1.4434708096240194</v>
      </c>
    </row>
    <row r="1034" spans="11:15">
      <c r="K1034" s="1472">
        <v>43091</v>
      </c>
      <c r="L1034" s="1473" t="s">
        <v>2127</v>
      </c>
      <c r="M1034" s="1474">
        <v>2.6481000000000001E-2</v>
      </c>
      <c r="N1034" s="1475">
        <v>1.3937261511126411</v>
      </c>
      <c r="O1034" s="1475">
        <v>1.444229079275023</v>
      </c>
    </row>
    <row r="1035" spans="11:15">
      <c r="K1035" s="1472">
        <v>43092</v>
      </c>
      <c r="L1035" s="1473"/>
      <c r="M1035" s="1474">
        <v>0</v>
      </c>
      <c r="N1035" s="1475">
        <v>1.3937261511126411</v>
      </c>
      <c r="O1035" s="1475">
        <v>1.444229079275023</v>
      </c>
    </row>
    <row r="1036" spans="11:15">
      <c r="K1036" s="1472">
        <v>43093</v>
      </c>
      <c r="L1036" s="1473"/>
      <c r="M1036" s="1474">
        <v>0</v>
      </c>
      <c r="N1036" s="1475">
        <v>1.3937261511126411</v>
      </c>
      <c r="O1036" s="1475">
        <v>1.444229079275023</v>
      </c>
    </row>
    <row r="1037" spans="11:15">
      <c r="K1037" s="1472">
        <v>43094</v>
      </c>
      <c r="L1037" s="1473"/>
      <c r="M1037" s="1474">
        <v>0</v>
      </c>
      <c r="N1037" s="1475">
        <v>1.3937261511126411</v>
      </c>
      <c r="O1037" s="1475">
        <v>1.444229079275023</v>
      </c>
    </row>
    <row r="1038" spans="11:15">
      <c r="K1038" s="1472">
        <v>43095</v>
      </c>
      <c r="L1038" s="1473" t="s">
        <v>2127</v>
      </c>
      <c r="M1038" s="1474">
        <v>2.6481000000000001E-2</v>
      </c>
      <c r="N1038" s="1475">
        <v>1.3940952237347173</v>
      </c>
      <c r="O1038" s="1475">
        <v>1.4449877472526569</v>
      </c>
    </row>
    <row r="1039" spans="11:15">
      <c r="K1039" s="1472">
        <v>43096</v>
      </c>
      <c r="L1039" s="1473" t="s">
        <v>2127</v>
      </c>
      <c r="M1039" s="1474">
        <v>2.6481000000000001E-2</v>
      </c>
      <c r="N1039" s="1475">
        <v>1.3944643940909145</v>
      </c>
      <c r="O1039" s="1475">
        <v>1.4457468137661662</v>
      </c>
    </row>
    <row r="1040" spans="11:15">
      <c r="K1040" s="1472">
        <v>43097</v>
      </c>
      <c r="L1040" s="1473" t="s">
        <v>2127</v>
      </c>
      <c r="M1040" s="1474">
        <v>2.6481000000000001E-2</v>
      </c>
      <c r="N1040" s="1475">
        <v>1.3948336622071138</v>
      </c>
      <c r="O1040" s="1475">
        <v>1.4465062790249057</v>
      </c>
    </row>
    <row r="1041" spans="11:15">
      <c r="K1041" s="1472">
        <v>43098</v>
      </c>
      <c r="L1041" s="1473" t="s">
        <v>2127</v>
      </c>
      <c r="M1041" s="1474">
        <v>2.6481000000000001E-2</v>
      </c>
      <c r="N1041" s="1475">
        <v>1.3952030281092029</v>
      </c>
      <c r="O1041" s="1475">
        <v>1.4472661432383402</v>
      </c>
    </row>
    <row r="1042" spans="11:15">
      <c r="K1042" s="1472">
        <v>43099</v>
      </c>
      <c r="L1042" s="1473"/>
      <c r="M1042" s="1474">
        <v>0</v>
      </c>
      <c r="N1042" s="1475">
        <v>1.3952030281092029</v>
      </c>
      <c r="O1042" s="1475">
        <v>1.4472661432383402</v>
      </c>
    </row>
    <row r="1043" spans="11:15">
      <c r="K1043" s="1472">
        <v>43100</v>
      </c>
      <c r="L1043" s="1473"/>
      <c r="M1043" s="1474">
        <v>0</v>
      </c>
      <c r="N1043" s="1475">
        <v>1.3952030281092029</v>
      </c>
      <c r="O1043" s="1475">
        <v>1.4472661432383402</v>
      </c>
    </row>
    <row r="1044" spans="11:15">
      <c r="K1044" s="1472">
        <v>43101</v>
      </c>
      <c r="L1044" s="1473"/>
      <c r="M1044" s="1474">
        <v>0</v>
      </c>
      <c r="N1044" s="1475">
        <v>1.3952030281092029</v>
      </c>
      <c r="O1044" s="1475">
        <v>1.4472661432383402</v>
      </c>
    </row>
    <row r="1045" spans="11:15">
      <c r="K1045" s="1472">
        <v>43102</v>
      </c>
      <c r="L1045" s="1473" t="s">
        <v>2127</v>
      </c>
      <c r="M1045" s="1474">
        <v>2.6481000000000001E-2</v>
      </c>
      <c r="N1045" s="1475">
        <v>1.3955724918230765</v>
      </c>
      <c r="O1045" s="1475"/>
    </row>
    <row r="1046" spans="11:15">
      <c r="K1046" s="1472">
        <v>43103</v>
      </c>
      <c r="L1046" s="1473" t="s">
        <v>2127</v>
      </c>
      <c r="M1046" s="1474">
        <v>2.6481000000000001E-2</v>
      </c>
      <c r="N1046" s="1475">
        <v>1.3959420533746363</v>
      </c>
      <c r="O1046" s="1475"/>
    </row>
    <row r="1047" spans="11:15">
      <c r="K1047" s="1472">
        <v>43104</v>
      </c>
      <c r="L1047" s="1473" t="s">
        <v>2127</v>
      </c>
      <c r="M1047" s="1474">
        <v>2.6481000000000001E-2</v>
      </c>
      <c r="N1047" s="1475">
        <v>1.3963117127897904</v>
      </c>
      <c r="O1047" s="1475"/>
    </row>
    <row r="1048" spans="11:15">
      <c r="K1048" s="1472">
        <v>43105</v>
      </c>
      <c r="L1048" s="1473" t="s">
        <v>2127</v>
      </c>
      <c r="M1048" s="1474">
        <v>2.6481000000000001E-2</v>
      </c>
      <c r="N1048" s="1475">
        <v>1.3966814700944543</v>
      </c>
      <c r="O1048" s="1475"/>
    </row>
    <row r="1049" spans="11:15">
      <c r="K1049" s="1472">
        <v>43106</v>
      </c>
      <c r="L1049" s="1473"/>
      <c r="M1049" s="1474">
        <v>0</v>
      </c>
      <c r="N1049" s="1475">
        <v>1.3966814700944543</v>
      </c>
      <c r="O1049" s="1475"/>
    </row>
    <row r="1050" spans="11:15">
      <c r="K1050" s="1472">
        <v>43107</v>
      </c>
      <c r="L1050" s="1473"/>
      <c r="M1050" s="1474">
        <v>0</v>
      </c>
      <c r="N1050" s="1475">
        <v>1.3966814700944543</v>
      </c>
      <c r="O1050" s="1475"/>
    </row>
    <row r="1051" spans="11:15">
      <c r="K1051" s="1472">
        <v>43108</v>
      </c>
      <c r="L1051" s="1473" t="s">
        <v>2127</v>
      </c>
      <c r="M1051" s="1474">
        <v>2.6481000000000001E-2</v>
      </c>
      <c r="N1051" s="1475">
        <v>1.39705132531455</v>
      </c>
      <c r="O1051" s="1475"/>
    </row>
    <row r="1052" spans="11:15">
      <c r="K1052" s="1472">
        <v>43109</v>
      </c>
      <c r="L1052" s="1473" t="s">
        <v>2127</v>
      </c>
      <c r="M1052" s="1474">
        <v>2.6481000000000001E-2</v>
      </c>
      <c r="N1052" s="1475">
        <v>1.3974212784760065</v>
      </c>
      <c r="O1052" s="1475"/>
    </row>
    <row r="1053" spans="11:15">
      <c r="K1053" s="1472">
        <v>43110</v>
      </c>
      <c r="L1053" s="1473" t="s">
        <v>2127</v>
      </c>
      <c r="M1053" s="1474">
        <v>2.6481000000000001E-2</v>
      </c>
      <c r="N1053" s="1475">
        <v>1.3977913296047597</v>
      </c>
      <c r="O1053" s="1475"/>
    </row>
    <row r="1054" spans="11:15">
      <c r="K1054" s="1472">
        <v>43111</v>
      </c>
      <c r="L1054" s="1473" t="s">
        <v>2127</v>
      </c>
      <c r="M1054" s="1474">
        <v>2.6481000000000001E-2</v>
      </c>
      <c r="N1054" s="1475">
        <v>1.3981614787267524</v>
      </c>
      <c r="O1054" s="1475"/>
    </row>
    <row r="1055" spans="11:15">
      <c r="K1055" s="1472">
        <v>43112</v>
      </c>
      <c r="L1055" s="1473" t="s">
        <v>2127</v>
      </c>
      <c r="M1055" s="1474">
        <v>2.6481000000000001E-2</v>
      </c>
      <c r="N1055" s="1475">
        <v>1.3985317258679342</v>
      </c>
      <c r="O1055" s="1475"/>
    </row>
    <row r="1056" spans="11:15">
      <c r="K1056" s="1472">
        <v>43113</v>
      </c>
      <c r="L1056" s="1473"/>
      <c r="M1056" s="1474">
        <v>0</v>
      </c>
      <c r="N1056" s="1475">
        <v>1.3985317258679342</v>
      </c>
      <c r="O1056" s="1475"/>
    </row>
    <row r="1057" spans="11:15">
      <c r="K1057" s="1472">
        <v>43114</v>
      </c>
      <c r="L1057" s="1473"/>
      <c r="M1057" s="1474">
        <v>0</v>
      </c>
      <c r="N1057" s="1475">
        <v>1.3985317258679342</v>
      </c>
      <c r="O1057" s="1475"/>
    </row>
    <row r="1058" spans="11:15">
      <c r="K1058" s="1472">
        <v>43115</v>
      </c>
      <c r="L1058" s="1473" t="s">
        <v>2127</v>
      </c>
      <c r="M1058" s="1474">
        <v>2.6481000000000001E-2</v>
      </c>
      <c r="N1058" s="1475">
        <v>1.3989020710542612</v>
      </c>
      <c r="O1058" s="1475"/>
    </row>
    <row r="1059" spans="11:15">
      <c r="K1059" s="1472">
        <v>43116</v>
      </c>
      <c r="L1059" s="1473" t="s">
        <v>2127</v>
      </c>
      <c r="M1059" s="1474">
        <v>2.6481000000000001E-2</v>
      </c>
      <c r="N1059" s="1475">
        <v>1.3992725143116971</v>
      </c>
      <c r="O1059" s="1475"/>
    </row>
    <row r="1060" spans="11:15">
      <c r="K1060" s="1472">
        <v>43117</v>
      </c>
      <c r="L1060" s="1473" t="s">
        <v>2127</v>
      </c>
      <c r="M1060" s="1474">
        <v>2.6481000000000001E-2</v>
      </c>
      <c r="N1060" s="1475">
        <v>1.3996430556662121</v>
      </c>
      <c r="O1060" s="1475"/>
    </row>
    <row r="1061" spans="11:15">
      <c r="K1061" s="1472">
        <v>43118</v>
      </c>
      <c r="L1061" s="1473" t="s">
        <v>2127</v>
      </c>
      <c r="M1061" s="1474">
        <v>2.6481000000000001E-2</v>
      </c>
      <c r="N1061" s="1475">
        <v>1.4000136951437829</v>
      </c>
      <c r="O1061" s="1475"/>
    </row>
    <row r="1062" spans="11:15">
      <c r="K1062" s="1472">
        <v>43119</v>
      </c>
      <c r="L1062" s="1473" t="s">
        <v>2127</v>
      </c>
      <c r="M1062" s="1474">
        <v>2.6481000000000001E-2</v>
      </c>
      <c r="N1062" s="1475">
        <v>1.400384432770394</v>
      </c>
      <c r="O1062" s="1475"/>
    </row>
    <row r="1063" spans="11:15">
      <c r="K1063" s="1472">
        <v>43120</v>
      </c>
      <c r="L1063" s="1473"/>
      <c r="M1063" s="1474">
        <v>0</v>
      </c>
      <c r="N1063" s="1475">
        <v>1.400384432770394</v>
      </c>
      <c r="O1063" s="1475"/>
    </row>
    <row r="1064" spans="11:15">
      <c r="K1064" s="1472">
        <v>43121</v>
      </c>
      <c r="L1064" s="1473"/>
      <c r="M1064" s="1474">
        <v>0</v>
      </c>
      <c r="N1064" s="1475">
        <v>1.400384432770394</v>
      </c>
      <c r="O1064" s="1475"/>
    </row>
    <row r="1065" spans="11:15">
      <c r="K1065" s="1472">
        <v>43122</v>
      </c>
      <c r="L1065" s="1473" t="s">
        <v>2127</v>
      </c>
      <c r="M1065" s="1474">
        <v>2.6481000000000001E-2</v>
      </c>
      <c r="N1065" s="1475">
        <v>1.4007552685720359</v>
      </c>
      <c r="O1065" s="1475"/>
    </row>
    <row r="1066" spans="11:15">
      <c r="K1066" s="1472">
        <v>43123</v>
      </c>
      <c r="L1066" s="1473" t="s">
        <v>2127</v>
      </c>
      <c r="M1066" s="1474">
        <v>2.6481000000000001E-2</v>
      </c>
      <c r="N1066" s="1475">
        <v>1.4011262025747064</v>
      </c>
      <c r="O1066" s="1475"/>
    </row>
    <row r="1067" spans="11:15">
      <c r="K1067" s="1472">
        <v>43124</v>
      </c>
      <c r="L1067" s="1473" t="s">
        <v>2127</v>
      </c>
      <c r="M1067" s="1474">
        <v>2.6481000000000001E-2</v>
      </c>
      <c r="N1067" s="1475">
        <v>1.4014972348044104</v>
      </c>
      <c r="O1067" s="1475"/>
    </row>
    <row r="1068" spans="11:15">
      <c r="K1068" s="1472">
        <v>43125</v>
      </c>
      <c r="L1068" s="1473" t="s">
        <v>2127</v>
      </c>
      <c r="M1068" s="1474">
        <v>2.6481000000000001E-2</v>
      </c>
      <c r="N1068" s="1475">
        <v>1.4018683652871589</v>
      </c>
      <c r="O1068" s="1475"/>
    </row>
    <row r="1069" spans="11:15">
      <c r="K1069" s="1472">
        <v>43126</v>
      </c>
      <c r="L1069" s="1473" t="s">
        <v>2127</v>
      </c>
      <c r="M1069" s="1474">
        <v>2.6481000000000001E-2</v>
      </c>
      <c r="N1069" s="1475">
        <v>1.4022395940489705</v>
      </c>
      <c r="O1069" s="1475"/>
    </row>
    <row r="1070" spans="11:15">
      <c r="K1070" s="1472">
        <v>43127</v>
      </c>
      <c r="L1070" s="1473"/>
      <c r="M1070" s="1474">
        <v>0</v>
      </c>
      <c r="N1070" s="1475">
        <v>1.4022395940489705</v>
      </c>
      <c r="O1070" s="1475"/>
    </row>
    <row r="1071" spans="11:15">
      <c r="K1071" s="1472">
        <v>43128</v>
      </c>
      <c r="L1071" s="1473"/>
      <c r="M1071" s="1474">
        <v>0</v>
      </c>
      <c r="N1071" s="1475">
        <v>1.4022395940489705</v>
      </c>
      <c r="O1071" s="1475"/>
    </row>
    <row r="1072" spans="11:15">
      <c r="K1072" s="1472">
        <v>43129</v>
      </c>
      <c r="L1072" s="1473" t="s">
        <v>2127</v>
      </c>
      <c r="M1072" s="1474">
        <v>2.6481000000000001E-2</v>
      </c>
      <c r="N1072" s="1475">
        <v>1.4026109211158706</v>
      </c>
      <c r="O1072" s="1475"/>
    </row>
    <row r="1073" spans="11:15">
      <c r="K1073" s="1472">
        <v>43130</v>
      </c>
      <c r="L1073" s="1473" t="s">
        <v>2127</v>
      </c>
      <c r="M1073" s="1474">
        <v>2.6481000000000001E-2</v>
      </c>
      <c r="N1073" s="1475">
        <v>1.4029823465138913</v>
      </c>
      <c r="O1073" s="1475"/>
    </row>
    <row r="1074" spans="11:15">
      <c r="K1074" s="1472">
        <v>43131</v>
      </c>
      <c r="L1074" s="1473" t="s">
        <v>2127</v>
      </c>
      <c r="M1074" s="1474">
        <v>2.6481000000000001E-2</v>
      </c>
      <c r="N1074" s="1475">
        <v>1.4033538702690718</v>
      </c>
      <c r="O1074" s="1475"/>
    </row>
    <row r="1075" spans="11:15">
      <c r="K1075" s="1472">
        <v>43132</v>
      </c>
      <c r="L1075" s="1473" t="s">
        <v>2127</v>
      </c>
      <c r="M1075" s="1474">
        <v>2.6481000000000001E-2</v>
      </c>
      <c r="N1075" s="1475">
        <v>1.4037254924074578</v>
      </c>
      <c r="O1075" s="1475"/>
    </row>
    <row r="1076" spans="11:15">
      <c r="K1076" s="1472">
        <v>43133</v>
      </c>
      <c r="L1076" s="1473" t="s">
        <v>2127</v>
      </c>
      <c r="M1076" s="1474">
        <v>2.6481000000000001E-2</v>
      </c>
      <c r="N1076" s="1475">
        <v>1.4040972129551021</v>
      </c>
      <c r="O1076" s="1475"/>
    </row>
    <row r="1077" spans="11:15">
      <c r="K1077" s="1472">
        <v>43134</v>
      </c>
      <c r="L1077" s="1473"/>
      <c r="M1077" s="1474">
        <v>0</v>
      </c>
      <c r="N1077" s="1475">
        <v>1.4040972129551021</v>
      </c>
      <c r="O1077" s="1475"/>
    </row>
    <row r="1078" spans="11:15">
      <c r="K1078" s="1472">
        <v>43135</v>
      </c>
      <c r="L1078" s="1473"/>
      <c r="M1078" s="1474">
        <v>0</v>
      </c>
      <c r="N1078" s="1475">
        <v>1.4040972129551021</v>
      </c>
      <c r="O1078" s="1475"/>
    </row>
    <row r="1079" spans="11:15">
      <c r="K1079" s="1472">
        <v>43136</v>
      </c>
      <c r="L1079" s="1473" t="s">
        <v>2127</v>
      </c>
      <c r="M1079" s="1474">
        <v>2.6481000000000001E-2</v>
      </c>
      <c r="N1079" s="1475">
        <v>1.4044690319380648</v>
      </c>
      <c r="O1079" s="1475"/>
    </row>
    <row r="1080" spans="11:15">
      <c r="K1080" s="1472">
        <v>43137</v>
      </c>
      <c r="L1080" s="1473" t="s">
        <v>2127</v>
      </c>
      <c r="M1080" s="1474">
        <v>2.6481000000000001E-2</v>
      </c>
      <c r="N1080" s="1475">
        <v>1.4048409493824123</v>
      </c>
      <c r="O1080" s="1475"/>
    </row>
    <row r="1081" spans="11:15">
      <c r="K1081" s="1472">
        <v>43138</v>
      </c>
      <c r="L1081" s="1473" t="s">
        <v>2127</v>
      </c>
      <c r="M1081" s="1474">
        <v>2.6481000000000001E-2</v>
      </c>
      <c r="N1081" s="1475">
        <v>1.4052129653142182</v>
      </c>
      <c r="O1081" s="1475"/>
    </row>
    <row r="1082" spans="11:15">
      <c r="K1082" s="1472">
        <v>43139</v>
      </c>
      <c r="L1082" s="1473" t="s">
        <v>2127</v>
      </c>
      <c r="M1082" s="1474">
        <v>2.5551999999999998E-2</v>
      </c>
      <c r="N1082" s="1475">
        <v>1.4055720253311155</v>
      </c>
      <c r="O1082" s="1475"/>
    </row>
    <row r="1083" spans="11:15">
      <c r="K1083" s="1472">
        <v>43140</v>
      </c>
      <c r="L1083" s="1473" t="s">
        <v>2127</v>
      </c>
      <c r="M1083" s="1474">
        <v>2.5551999999999998E-2</v>
      </c>
      <c r="N1083" s="1475">
        <v>1.4059311770950282</v>
      </c>
      <c r="O1083" s="1475"/>
    </row>
    <row r="1084" spans="11:15">
      <c r="K1084" s="1472">
        <v>43141</v>
      </c>
      <c r="L1084" s="1473"/>
      <c r="M1084" s="1474">
        <v>0</v>
      </c>
      <c r="N1084" s="1475">
        <v>1.4059311770950282</v>
      </c>
      <c r="O1084" s="1475"/>
    </row>
    <row r="1085" spans="11:15">
      <c r="K1085" s="1472">
        <v>43142</v>
      </c>
      <c r="L1085" s="1473"/>
      <c r="M1085" s="1474">
        <v>0</v>
      </c>
      <c r="N1085" s="1475">
        <v>1.4059311770950282</v>
      </c>
      <c r="O1085" s="1475"/>
    </row>
    <row r="1086" spans="11:15">
      <c r="K1086" s="1472">
        <v>43143</v>
      </c>
      <c r="L1086" s="1473"/>
      <c r="M1086" s="1474">
        <v>0</v>
      </c>
      <c r="N1086" s="1475">
        <v>1.4059311770950282</v>
      </c>
      <c r="O1086" s="1475"/>
    </row>
    <row r="1087" spans="11:15">
      <c r="K1087" s="1472">
        <v>43144</v>
      </c>
      <c r="L1087" s="1473"/>
      <c r="M1087" s="1474">
        <v>0</v>
      </c>
      <c r="N1087" s="1475">
        <v>1.4059311770950282</v>
      </c>
      <c r="O1087" s="1475"/>
    </row>
    <row r="1088" spans="11:15">
      <c r="K1088" s="1472">
        <v>43145</v>
      </c>
      <c r="L1088" s="1473" t="s">
        <v>2127</v>
      </c>
      <c r="M1088" s="1474">
        <v>2.5551999999999998E-2</v>
      </c>
      <c r="N1088" s="1475">
        <v>1.4062904206293996</v>
      </c>
      <c r="O1088" s="1475"/>
    </row>
    <row r="1089" spans="11:15">
      <c r="K1089" s="1472">
        <v>43146</v>
      </c>
      <c r="L1089" s="1473" t="s">
        <v>2127</v>
      </c>
      <c r="M1089" s="1474">
        <v>2.5551999999999998E-2</v>
      </c>
      <c r="N1089" s="1475">
        <v>1.4066497559576789</v>
      </c>
      <c r="O1089" s="1475"/>
    </row>
    <row r="1090" spans="11:15">
      <c r="K1090" s="1472">
        <v>43147</v>
      </c>
      <c r="L1090" s="1473" t="s">
        <v>2127</v>
      </c>
      <c r="M1090" s="1474">
        <v>2.5551999999999998E-2</v>
      </c>
      <c r="N1090" s="1475">
        <v>1.4070091831033213</v>
      </c>
      <c r="O1090" s="1475"/>
    </row>
    <row r="1091" spans="11:15">
      <c r="K1091" s="1472">
        <v>43148</v>
      </c>
      <c r="L1091" s="1473"/>
      <c r="M1091" s="1474">
        <v>0</v>
      </c>
      <c r="N1091" s="1475">
        <v>1.4070091831033213</v>
      </c>
      <c r="O1091" s="1475"/>
    </row>
    <row r="1092" spans="11:15">
      <c r="K1092" s="1472">
        <v>43149</v>
      </c>
      <c r="L1092" s="1473"/>
      <c r="M1092" s="1474">
        <v>0</v>
      </c>
      <c r="N1092" s="1475">
        <v>1.4070091831033213</v>
      </c>
      <c r="O1092" s="1475"/>
    </row>
    <row r="1093" spans="11:15">
      <c r="K1093" s="1472">
        <v>43150</v>
      </c>
      <c r="L1093" s="1473" t="s">
        <v>2127</v>
      </c>
      <c r="M1093" s="1474">
        <v>2.5551999999999998E-2</v>
      </c>
      <c r="N1093" s="1475">
        <v>1.407368702089788</v>
      </c>
      <c r="O1093" s="1475"/>
    </row>
    <row r="1094" spans="11:15">
      <c r="K1094" s="1472">
        <v>43151</v>
      </c>
      <c r="L1094" s="1473" t="s">
        <v>2127</v>
      </c>
      <c r="M1094" s="1474">
        <v>2.5551999999999998E-2</v>
      </c>
      <c r="N1094" s="1475">
        <v>1.407728312940546</v>
      </c>
      <c r="O1094" s="1475"/>
    </row>
    <row r="1095" spans="11:15">
      <c r="K1095" s="1472">
        <v>43152</v>
      </c>
      <c r="L1095" s="1473" t="s">
        <v>2127</v>
      </c>
      <c r="M1095" s="1474">
        <v>2.5551999999999998E-2</v>
      </c>
      <c r="N1095" s="1475">
        <v>1.4080880156790687</v>
      </c>
      <c r="O1095" s="1475"/>
    </row>
    <row r="1096" spans="11:15">
      <c r="K1096" s="1472">
        <v>43153</v>
      </c>
      <c r="L1096" s="1473" t="s">
        <v>2127</v>
      </c>
      <c r="M1096" s="1474">
        <v>2.5551999999999998E-2</v>
      </c>
      <c r="N1096" s="1475">
        <v>1.4084478103288351</v>
      </c>
      <c r="O1096" s="1475"/>
    </row>
    <row r="1097" spans="11:15">
      <c r="K1097" s="1472">
        <v>43154</v>
      </c>
      <c r="L1097" s="1473" t="s">
        <v>2127</v>
      </c>
      <c r="M1097" s="1474">
        <v>2.5551999999999998E-2</v>
      </c>
      <c r="N1097" s="1475">
        <v>1.4088076969133305</v>
      </c>
      <c r="O1097" s="1475"/>
    </row>
    <row r="1098" spans="11:15">
      <c r="K1098" s="1472">
        <v>43155</v>
      </c>
      <c r="L1098" s="1473"/>
      <c r="M1098" s="1474">
        <v>0</v>
      </c>
      <c r="N1098" s="1475">
        <v>1.4088076969133305</v>
      </c>
      <c r="O1098" s="1475"/>
    </row>
    <row r="1099" spans="11:15">
      <c r="K1099" s="1472">
        <v>43156</v>
      </c>
      <c r="L1099" s="1473"/>
      <c r="M1099" s="1474">
        <v>0</v>
      </c>
      <c r="N1099" s="1475">
        <v>1.4088076969133305</v>
      </c>
      <c r="O1099" s="1475"/>
    </row>
    <row r="1100" spans="11:15">
      <c r="K1100" s="1472">
        <v>43157</v>
      </c>
      <c r="L1100" s="1473" t="s">
        <v>2127</v>
      </c>
      <c r="M1100" s="1474">
        <v>2.5551999999999998E-2</v>
      </c>
      <c r="N1100" s="1475">
        <v>1.4091676754560458</v>
      </c>
      <c r="O1100" s="1475"/>
    </row>
    <row r="1101" spans="11:15">
      <c r="K1101" s="1472">
        <v>43158</v>
      </c>
      <c r="L1101" s="1473" t="s">
        <v>2127</v>
      </c>
      <c r="M1101" s="1474">
        <v>2.5551999999999998E-2</v>
      </c>
      <c r="N1101" s="1475">
        <v>1.4095277459804785</v>
      </c>
      <c r="O1101" s="1475"/>
    </row>
    <row r="1102" spans="11:15">
      <c r="K1102" s="1472">
        <v>43159</v>
      </c>
      <c r="L1102" s="1473" t="s">
        <v>2127</v>
      </c>
      <c r="M1102" s="1474">
        <v>2.5551999999999998E-2</v>
      </c>
      <c r="N1102" s="1475">
        <v>1.4098879085101315</v>
      </c>
      <c r="O1102" s="1475"/>
    </row>
    <row r="1103" spans="11:15">
      <c r="K1103" s="1472">
        <v>43160</v>
      </c>
      <c r="L1103" s="1473" t="s">
        <v>2127</v>
      </c>
      <c r="M1103" s="1474">
        <v>2.5551999999999998E-2</v>
      </c>
      <c r="N1103" s="1475">
        <v>1.410248163068514</v>
      </c>
      <c r="O1103" s="1475"/>
    </row>
    <row r="1104" spans="11:15">
      <c r="K1104" s="1472">
        <v>43161</v>
      </c>
      <c r="L1104" s="1473" t="s">
        <v>2127</v>
      </c>
      <c r="M1104" s="1474">
        <v>2.5551999999999998E-2</v>
      </c>
      <c r="N1104" s="1475">
        <v>1.4106085096791414</v>
      </c>
      <c r="O1104" s="1475"/>
    </row>
    <row r="1105" spans="11:15">
      <c r="K1105" s="1472">
        <v>43162</v>
      </c>
      <c r="L1105" s="1473"/>
      <c r="M1105" s="1474">
        <v>0</v>
      </c>
      <c r="N1105" s="1475">
        <v>1.4106085096791414</v>
      </c>
      <c r="O1105" s="1475"/>
    </row>
    <row r="1106" spans="11:15">
      <c r="K1106" s="1472">
        <v>43163</v>
      </c>
      <c r="L1106" s="1473"/>
      <c r="M1106" s="1474">
        <v>0</v>
      </c>
      <c r="N1106" s="1475">
        <v>1.4106085096791414</v>
      </c>
      <c r="O1106" s="1475"/>
    </row>
    <row r="1107" spans="11:15">
      <c r="K1107" s="1472">
        <v>43164</v>
      </c>
      <c r="L1107" s="1473" t="s">
        <v>2127</v>
      </c>
      <c r="M1107" s="1474">
        <v>2.5551999999999998E-2</v>
      </c>
      <c r="N1107" s="1475">
        <v>1.4109689483655348</v>
      </c>
      <c r="O1107" s="1475"/>
    </row>
    <row r="1108" spans="11:15">
      <c r="K1108" s="1472">
        <v>43165</v>
      </c>
      <c r="L1108" s="1473" t="s">
        <v>2127</v>
      </c>
      <c r="M1108" s="1474">
        <v>2.5551999999999998E-2</v>
      </c>
      <c r="N1108" s="1475">
        <v>1.4113294791512212</v>
      </c>
      <c r="O1108" s="1475"/>
    </row>
    <row r="1109" spans="11:15">
      <c r="K1109" s="1472">
        <v>43166</v>
      </c>
      <c r="L1109" s="1473" t="s">
        <v>2127</v>
      </c>
      <c r="M1109" s="1474">
        <v>2.5551999999999998E-2</v>
      </c>
      <c r="N1109" s="1475">
        <v>1.4116901020597341</v>
      </c>
      <c r="O1109" s="1475"/>
    </row>
    <row r="1110" spans="11:15">
      <c r="K1110" s="1472">
        <v>43167</v>
      </c>
      <c r="L1110" s="1473" t="s">
        <v>2127</v>
      </c>
      <c r="M1110" s="1474">
        <v>2.5551999999999998E-2</v>
      </c>
      <c r="N1110" s="1475">
        <v>1.4120508171146124</v>
      </c>
      <c r="O1110" s="1475"/>
    </row>
    <row r="1111" spans="11:15">
      <c r="K1111" s="1472">
        <v>43168</v>
      </c>
      <c r="L1111" s="1473" t="s">
        <v>2127</v>
      </c>
      <c r="M1111" s="1474">
        <v>2.5551999999999998E-2</v>
      </c>
      <c r="N1111" s="1475">
        <v>1.4124116243394016</v>
      </c>
      <c r="O1111" s="1475"/>
    </row>
    <row r="1112" spans="11:15">
      <c r="K1112" s="1472">
        <v>43169</v>
      </c>
      <c r="L1112" s="1473"/>
      <c r="M1112" s="1474">
        <v>0</v>
      </c>
      <c r="N1112" s="1475">
        <v>1.4124116243394016</v>
      </c>
      <c r="O1112" s="1475"/>
    </row>
    <row r="1113" spans="11:15">
      <c r="K1113" s="1472">
        <v>43170</v>
      </c>
      <c r="L1113" s="1473"/>
      <c r="M1113" s="1474">
        <v>0</v>
      </c>
      <c r="N1113" s="1475">
        <v>1.4124116243394016</v>
      </c>
      <c r="O1113" s="1475"/>
    </row>
    <row r="1114" spans="11:15">
      <c r="K1114" s="1472">
        <v>43171</v>
      </c>
      <c r="L1114" s="1473" t="s">
        <v>2127</v>
      </c>
      <c r="M1114" s="1474">
        <v>2.5551999999999998E-2</v>
      </c>
      <c r="N1114" s="1475">
        <v>1.4127725237576529</v>
      </c>
      <c r="O1114" s="1475"/>
    </row>
    <row r="1115" spans="11:15">
      <c r="K1115" s="1472">
        <v>43172</v>
      </c>
      <c r="L1115" s="1473" t="s">
        <v>2127</v>
      </c>
      <c r="M1115" s="1474">
        <v>2.5551999999999998E-2</v>
      </c>
      <c r="N1115" s="1475">
        <v>1.4131335153929236</v>
      </c>
      <c r="O1115" s="1475"/>
    </row>
    <row r="1116" spans="11:15">
      <c r="K1116" s="1472">
        <v>43173</v>
      </c>
      <c r="L1116" s="1473" t="s">
        <v>2127</v>
      </c>
      <c r="M1116" s="1474">
        <v>2.5551999999999998E-2</v>
      </c>
      <c r="N1116" s="1475">
        <v>1.4134945992687769</v>
      </c>
      <c r="O1116" s="1475"/>
    </row>
    <row r="1117" spans="11:15">
      <c r="K1117" s="1472">
        <v>43174</v>
      </c>
      <c r="L1117" s="1473" t="s">
        <v>2127</v>
      </c>
      <c r="M1117" s="1474">
        <v>2.5551999999999998E-2</v>
      </c>
      <c r="N1117" s="1475">
        <v>1.4138557754087822</v>
      </c>
      <c r="O1117" s="1475"/>
    </row>
    <row r="1118" spans="11:15">
      <c r="K1118" s="1472">
        <v>43175</v>
      </c>
      <c r="L1118" s="1473" t="s">
        <v>2127</v>
      </c>
      <c r="M1118" s="1474">
        <v>2.5551999999999998E-2</v>
      </c>
      <c r="N1118" s="1475">
        <v>1.4142170438365147</v>
      </c>
      <c r="O1118" s="1475"/>
    </row>
    <row r="1119" spans="11:15">
      <c r="K1119" s="1472">
        <v>43176</v>
      </c>
      <c r="L1119" s="1473"/>
      <c r="M1119" s="1474">
        <v>0</v>
      </c>
      <c r="N1119" s="1475">
        <v>1.4142170438365147</v>
      </c>
      <c r="O1119" s="1475"/>
    </row>
    <row r="1120" spans="11:15">
      <c r="K1120" s="1472">
        <v>43177</v>
      </c>
      <c r="L1120" s="1473"/>
      <c r="M1120" s="1474">
        <v>0</v>
      </c>
      <c r="N1120" s="1475">
        <v>1.4142170438365147</v>
      </c>
      <c r="O1120" s="1475"/>
    </row>
    <row r="1121" spans="11:15">
      <c r="K1121" s="1472">
        <v>43178</v>
      </c>
      <c r="L1121" s="1473" t="s">
        <v>2127</v>
      </c>
      <c r="M1121" s="1474">
        <v>2.5551999999999998E-2</v>
      </c>
      <c r="N1121" s="1475">
        <v>1.4145784045755558</v>
      </c>
      <c r="O1121" s="1475"/>
    </row>
    <row r="1122" spans="11:15">
      <c r="K1122" s="1472">
        <v>43179</v>
      </c>
      <c r="L1122" s="1473" t="s">
        <v>2127</v>
      </c>
      <c r="M1122" s="1474">
        <v>2.5551999999999998E-2</v>
      </c>
      <c r="N1122" s="1475">
        <v>1.4149398576494931</v>
      </c>
      <c r="O1122" s="1475"/>
    </row>
    <row r="1123" spans="11:15">
      <c r="K1123" s="1472">
        <v>43180</v>
      </c>
      <c r="L1123" s="1473" t="s">
        <v>2127</v>
      </c>
      <c r="M1123" s="1474">
        <v>2.5551999999999998E-2</v>
      </c>
      <c r="N1123" s="1475">
        <v>1.4153014030819198</v>
      </c>
      <c r="O1123" s="1475"/>
    </row>
    <row r="1124" spans="11:15">
      <c r="K1124" s="1472">
        <v>43181</v>
      </c>
      <c r="L1124" s="1473" t="s">
        <v>2127</v>
      </c>
      <c r="M1124" s="1474">
        <v>2.462E-2</v>
      </c>
      <c r="N1124" s="1475">
        <v>1.4156498502873587</v>
      </c>
      <c r="O1124" s="1475"/>
    </row>
    <row r="1125" spans="11:15">
      <c r="K1125" s="1472">
        <v>43182</v>
      </c>
      <c r="L1125" s="1473" t="s">
        <v>2127</v>
      </c>
      <c r="M1125" s="1474">
        <v>2.462E-2</v>
      </c>
      <c r="N1125" s="1475">
        <v>1.4159983832804997</v>
      </c>
      <c r="O1125" s="1475"/>
    </row>
    <row r="1126" spans="11:15">
      <c r="K1126" s="1472">
        <v>43183</v>
      </c>
      <c r="L1126" s="1473"/>
      <c r="M1126" s="1474">
        <v>0</v>
      </c>
      <c r="N1126" s="1475">
        <v>1.4159983832804997</v>
      </c>
      <c r="O1126" s="1475"/>
    </row>
    <row r="1127" spans="11:15">
      <c r="K1127" s="1472">
        <v>43184</v>
      </c>
      <c r="L1127" s="1473"/>
      <c r="M1127" s="1474">
        <v>0</v>
      </c>
      <c r="N1127" s="1475">
        <v>1.4159983832804997</v>
      </c>
      <c r="O1127" s="1475"/>
    </row>
    <row r="1128" spans="11:15">
      <c r="K1128" s="1472">
        <v>43185</v>
      </c>
      <c r="L1128" s="1473" t="s">
        <v>2127</v>
      </c>
      <c r="M1128" s="1474">
        <v>2.462E-2</v>
      </c>
      <c r="N1128" s="1475">
        <v>1.4163470020824633</v>
      </c>
      <c r="O1128" s="1475"/>
    </row>
    <row r="1129" spans="11:15">
      <c r="K1129" s="1472">
        <v>43186</v>
      </c>
      <c r="L1129" s="1473" t="s">
        <v>2127</v>
      </c>
      <c r="M1129" s="1474">
        <v>2.462E-2</v>
      </c>
      <c r="N1129" s="1475">
        <v>1.4166957067143762</v>
      </c>
      <c r="O1129" s="1475"/>
    </row>
    <row r="1130" spans="11:15">
      <c r="K1130" s="1472">
        <v>43187</v>
      </c>
      <c r="L1130" s="1473" t="s">
        <v>2127</v>
      </c>
      <c r="M1130" s="1474">
        <v>2.462E-2</v>
      </c>
      <c r="N1130" s="1475">
        <v>1.4170444971973695</v>
      </c>
      <c r="O1130" s="1475"/>
    </row>
    <row r="1131" spans="11:15">
      <c r="K1131" s="1472">
        <v>43188</v>
      </c>
      <c r="L1131" s="1473" t="s">
        <v>2127</v>
      </c>
      <c r="M1131" s="1474">
        <v>2.462E-2</v>
      </c>
      <c r="N1131" s="1475">
        <v>1.4173933735525797</v>
      </c>
      <c r="O1131" s="1475"/>
    </row>
    <row r="1132" spans="11:15">
      <c r="K1132" s="1472">
        <v>43189</v>
      </c>
      <c r="L1132" s="1473"/>
      <c r="M1132" s="1474">
        <v>0</v>
      </c>
      <c r="N1132" s="1475">
        <v>1.4173933735525797</v>
      </c>
      <c r="O1132" s="1475"/>
    </row>
    <row r="1133" spans="11:15">
      <c r="K1133" s="1472">
        <v>43190</v>
      </c>
      <c r="L1133" s="1473"/>
      <c r="M1133" s="1474">
        <v>0</v>
      </c>
      <c r="N1133" s="1475">
        <v>1.4173933735525797</v>
      </c>
      <c r="O1133" s="1475"/>
    </row>
    <row r="1134" spans="11:15">
      <c r="K1134" s="1472">
        <v>43191</v>
      </c>
      <c r="L1134" s="1473"/>
      <c r="M1134" s="1474">
        <v>0</v>
      </c>
      <c r="N1134" s="1475">
        <v>1.4173933735525797</v>
      </c>
      <c r="O1134" s="1475"/>
    </row>
    <row r="1135" spans="11:15">
      <c r="K1135" s="1472">
        <v>43192</v>
      </c>
      <c r="L1135" s="1473" t="s">
        <v>2127</v>
      </c>
      <c r="M1135" s="1474">
        <v>2.462E-2</v>
      </c>
      <c r="N1135" s="1475">
        <v>1.4177423358011485</v>
      </c>
      <c r="O1135" s="1475"/>
    </row>
    <row r="1136" spans="11:15">
      <c r="K1136" s="1472">
        <v>43193</v>
      </c>
      <c r="L1136" s="1473" t="s">
        <v>2127</v>
      </c>
      <c r="M1136" s="1474">
        <v>2.462E-2</v>
      </c>
      <c r="N1136" s="1475">
        <v>1.4180913839642229</v>
      </c>
      <c r="O1136" s="1475"/>
    </row>
    <row r="1137" spans="11:15">
      <c r="K1137" s="1472">
        <v>43194</v>
      </c>
      <c r="L1137" s="1473" t="s">
        <v>2127</v>
      </c>
      <c r="M1137" s="1474">
        <v>2.462E-2</v>
      </c>
      <c r="N1137" s="1475">
        <v>1.4184405180629549</v>
      </c>
      <c r="O1137" s="1475"/>
    </row>
    <row r="1138" spans="11:15">
      <c r="K1138" s="1472">
        <v>43195</v>
      </c>
      <c r="L1138" s="1473" t="s">
        <v>2127</v>
      </c>
      <c r="M1138" s="1474">
        <v>2.462E-2</v>
      </c>
      <c r="N1138" s="1475">
        <v>1.4187897381185022</v>
      </c>
      <c r="O1138" s="1475"/>
    </row>
    <row r="1139" spans="11:15">
      <c r="K1139" s="1472">
        <v>43196</v>
      </c>
      <c r="L1139" s="1473" t="s">
        <v>2127</v>
      </c>
      <c r="M1139" s="1474">
        <v>2.462E-2</v>
      </c>
      <c r="N1139" s="1475">
        <v>1.4191390441520271</v>
      </c>
      <c r="O1139" s="1475"/>
    </row>
    <row r="1140" spans="11:15">
      <c r="K1140" s="1472">
        <v>43197</v>
      </c>
      <c r="L1140" s="1473"/>
      <c r="M1140" s="1474">
        <v>0</v>
      </c>
      <c r="N1140" s="1475">
        <v>1.4191390441520271</v>
      </c>
      <c r="O1140" s="1475"/>
    </row>
    <row r="1141" spans="11:15">
      <c r="K1141" s="1472">
        <v>43198</v>
      </c>
      <c r="L1141" s="1473"/>
      <c r="M1141" s="1474">
        <v>0</v>
      </c>
      <c r="N1141" s="1475">
        <v>1.4191390441520271</v>
      </c>
      <c r="O1141" s="1475"/>
    </row>
    <row r="1142" spans="11:15">
      <c r="K1142" s="1472">
        <v>43199</v>
      </c>
      <c r="L1142" s="1473" t="s">
        <v>2127</v>
      </c>
      <c r="M1142" s="1474">
        <v>2.462E-2</v>
      </c>
      <c r="N1142" s="1475">
        <v>1.4194884361846973</v>
      </c>
      <c r="O1142" s="1475"/>
    </row>
    <row r="1143" spans="11:15">
      <c r="K1143" s="1472">
        <v>43200</v>
      </c>
      <c r="L1143" s="1473" t="s">
        <v>2127</v>
      </c>
      <c r="M1143" s="1474">
        <v>2.462E-2</v>
      </c>
      <c r="N1143" s="1475">
        <v>1.419837914237686</v>
      </c>
      <c r="O1143" s="1475"/>
    </row>
    <row r="1144" spans="11:15">
      <c r="K1144" s="1472">
        <v>43201</v>
      </c>
      <c r="L1144" s="1473" t="s">
        <v>2127</v>
      </c>
      <c r="M1144" s="1474">
        <v>2.462E-2</v>
      </c>
      <c r="N1144" s="1475">
        <v>1.4201874783321715</v>
      </c>
      <c r="O1144" s="1475"/>
    </row>
    <row r="1145" spans="11:15">
      <c r="K1145" s="1472">
        <v>43202</v>
      </c>
      <c r="L1145" s="1473" t="s">
        <v>2127</v>
      </c>
      <c r="M1145" s="1474">
        <v>2.462E-2</v>
      </c>
      <c r="N1145" s="1475">
        <v>1.4205371284893371</v>
      </c>
      <c r="O1145" s="1475"/>
    </row>
    <row r="1146" spans="11:15">
      <c r="K1146" s="1472">
        <v>43203</v>
      </c>
      <c r="L1146" s="1473" t="s">
        <v>2127</v>
      </c>
      <c r="M1146" s="1474">
        <v>2.462E-2</v>
      </c>
      <c r="N1146" s="1475">
        <v>1.4208868647303714</v>
      </c>
      <c r="O1146" s="1475"/>
    </row>
    <row r="1147" spans="11:15">
      <c r="K1147" s="1472">
        <v>43204</v>
      </c>
      <c r="L1147" s="1473"/>
      <c r="M1147" s="1474">
        <v>0</v>
      </c>
      <c r="N1147" s="1475">
        <v>1.4208868647303714</v>
      </c>
      <c r="O1147" s="1475"/>
    </row>
    <row r="1148" spans="11:15">
      <c r="K1148" s="1472">
        <v>43205</v>
      </c>
      <c r="L1148" s="1473"/>
      <c r="M1148" s="1474">
        <v>0</v>
      </c>
      <c r="N1148" s="1475">
        <v>1.4208868647303714</v>
      </c>
      <c r="O1148" s="1475"/>
    </row>
    <row r="1149" spans="11:15">
      <c r="K1149" s="1472">
        <v>43206</v>
      </c>
      <c r="L1149" s="1473" t="s">
        <v>2127</v>
      </c>
      <c r="M1149" s="1474">
        <v>2.462E-2</v>
      </c>
      <c r="N1149" s="1475">
        <v>1.4212366870764681</v>
      </c>
      <c r="O1149" s="1475"/>
    </row>
    <row r="1150" spans="11:15">
      <c r="K1150" s="1472">
        <v>43207</v>
      </c>
      <c r="L1150" s="1473" t="s">
        <v>2127</v>
      </c>
      <c r="M1150" s="1474">
        <v>2.462E-2</v>
      </c>
      <c r="N1150" s="1475">
        <v>1.4215865955488265</v>
      </c>
      <c r="O1150" s="1475"/>
    </row>
    <row r="1151" spans="11:15">
      <c r="K1151" s="1472">
        <v>43208</v>
      </c>
      <c r="L1151" s="1473" t="s">
        <v>2127</v>
      </c>
      <c r="M1151" s="1474">
        <v>2.462E-2</v>
      </c>
      <c r="N1151" s="1475">
        <v>1.4219365901686507</v>
      </c>
      <c r="O1151" s="1475"/>
    </row>
    <row r="1152" spans="11:15">
      <c r="K1152" s="1472">
        <v>43209</v>
      </c>
      <c r="L1152" s="1473" t="s">
        <v>2127</v>
      </c>
      <c r="M1152" s="1474">
        <v>2.462E-2</v>
      </c>
      <c r="N1152" s="1475">
        <v>1.4222866709571504</v>
      </c>
      <c r="O1152" s="1475"/>
    </row>
    <row r="1153" spans="11:15">
      <c r="K1153" s="1472">
        <v>43210</v>
      </c>
      <c r="L1153" s="1473" t="s">
        <v>2127</v>
      </c>
      <c r="M1153" s="1474">
        <v>2.462E-2</v>
      </c>
      <c r="N1153" s="1475">
        <v>1.4226368379355403</v>
      </c>
      <c r="O1153" s="1475"/>
    </row>
    <row r="1154" spans="11:15">
      <c r="K1154" s="1472">
        <v>43211</v>
      </c>
      <c r="L1154" s="1473"/>
      <c r="M1154" s="1474">
        <v>0</v>
      </c>
      <c r="N1154" s="1475">
        <v>1.4226368379355403</v>
      </c>
      <c r="O1154" s="1475"/>
    </row>
    <row r="1155" spans="11:15">
      <c r="K1155" s="1472">
        <v>43212</v>
      </c>
      <c r="L1155" s="1473"/>
      <c r="M1155" s="1474">
        <v>0</v>
      </c>
      <c r="N1155" s="1475">
        <v>1.4226368379355403</v>
      </c>
      <c r="O1155" s="1475"/>
    </row>
    <row r="1156" spans="11:15">
      <c r="K1156" s="1472">
        <v>43213</v>
      </c>
      <c r="L1156" s="1473" t="s">
        <v>2127</v>
      </c>
      <c r="M1156" s="1474">
        <v>2.462E-2</v>
      </c>
      <c r="N1156" s="1475">
        <v>1.4229870911250402</v>
      </c>
      <c r="O1156" s="1475"/>
    </row>
    <row r="1157" spans="11:15">
      <c r="K1157" s="1472">
        <v>43214</v>
      </c>
      <c r="L1157" s="1473" t="s">
        <v>2127</v>
      </c>
      <c r="M1157" s="1474">
        <v>2.462E-2</v>
      </c>
      <c r="N1157" s="1475">
        <v>1.4233374305468753</v>
      </c>
      <c r="O1157" s="1475"/>
    </row>
    <row r="1158" spans="11:15">
      <c r="K1158" s="1472">
        <v>43215</v>
      </c>
      <c r="L1158" s="1473" t="s">
        <v>2127</v>
      </c>
      <c r="M1158" s="1474">
        <v>2.462E-2</v>
      </c>
      <c r="N1158" s="1475">
        <v>1.4236878562222761</v>
      </c>
      <c r="O1158" s="1475"/>
    </row>
    <row r="1159" spans="11:15">
      <c r="K1159" s="1472">
        <v>43216</v>
      </c>
      <c r="L1159" s="1473" t="s">
        <v>2127</v>
      </c>
      <c r="M1159" s="1474">
        <v>2.462E-2</v>
      </c>
      <c r="N1159" s="1475">
        <v>1.4240383681724782</v>
      </c>
      <c r="O1159" s="1475"/>
    </row>
    <row r="1160" spans="11:15">
      <c r="K1160" s="1472">
        <v>43217</v>
      </c>
      <c r="L1160" s="1473" t="s">
        <v>2127</v>
      </c>
      <c r="M1160" s="1474">
        <v>2.462E-2</v>
      </c>
      <c r="N1160" s="1475">
        <v>1.4243889664187224</v>
      </c>
      <c r="O1160" s="1475"/>
    </row>
    <row r="1161" spans="11:15">
      <c r="K1161" s="1472">
        <v>43218</v>
      </c>
      <c r="L1161" s="1473"/>
      <c r="M1161" s="1474">
        <v>0</v>
      </c>
      <c r="N1161" s="1475">
        <v>1.4243889664187224</v>
      </c>
      <c r="O1161" s="1475"/>
    </row>
    <row r="1162" spans="11:15">
      <c r="K1162" s="1472">
        <v>43219</v>
      </c>
      <c r="L1162" s="1473"/>
      <c r="M1162" s="1474">
        <v>0</v>
      </c>
      <c r="N1162" s="1475">
        <v>1.4243889664187224</v>
      </c>
      <c r="O1162" s="1475"/>
    </row>
    <row r="1163" spans="11:15">
      <c r="K1163" s="1472">
        <v>43220</v>
      </c>
      <c r="L1163" s="1473" t="s">
        <v>2127</v>
      </c>
      <c r="M1163" s="1474">
        <v>2.462E-2</v>
      </c>
      <c r="N1163" s="1475">
        <v>1.4247396509822547</v>
      </c>
      <c r="O1163" s="1475"/>
    </row>
    <row r="1164" spans="11:15">
      <c r="K1164" s="1472">
        <v>43221</v>
      </c>
      <c r="L1164" s="1473"/>
      <c r="M1164" s="1474">
        <v>0</v>
      </c>
      <c r="N1164" s="1475">
        <v>1.4247396509822547</v>
      </c>
      <c r="O1164" s="1475"/>
    </row>
    <row r="1165" spans="11:15">
      <c r="K1165" s="1472">
        <v>43222</v>
      </c>
      <c r="L1165" s="1473" t="s">
        <v>2127</v>
      </c>
      <c r="M1165" s="1474">
        <v>2.462E-2</v>
      </c>
      <c r="N1165" s="1475">
        <v>1.4250904218843268</v>
      </c>
      <c r="O1165" s="1475"/>
    </row>
    <row r="1166" spans="11:15">
      <c r="K1166" s="1472">
        <v>43223</v>
      </c>
      <c r="L1166" s="1473" t="s">
        <v>2127</v>
      </c>
      <c r="M1166" s="1474">
        <v>2.462E-2</v>
      </c>
      <c r="N1166" s="1475">
        <v>1.4254412791461948</v>
      </c>
      <c r="O1166" s="1475"/>
    </row>
    <row r="1167" spans="11:15">
      <c r="K1167" s="1472">
        <v>43224</v>
      </c>
      <c r="L1167" s="1473" t="s">
        <v>2127</v>
      </c>
      <c r="M1167" s="1474">
        <v>2.462E-2</v>
      </c>
      <c r="N1167" s="1475">
        <v>1.4257922227891207</v>
      </c>
      <c r="O1167" s="1475"/>
    </row>
    <row r="1168" spans="11:15">
      <c r="K1168" s="1472">
        <v>43225</v>
      </c>
      <c r="L1168" s="1473"/>
      <c r="M1168" s="1474">
        <v>0</v>
      </c>
      <c r="N1168" s="1475">
        <v>1.4257922227891207</v>
      </c>
      <c r="O1168" s="1475"/>
    </row>
    <row r="1169" spans="11:15">
      <c r="K1169" s="1472">
        <v>43226</v>
      </c>
      <c r="L1169" s="1473"/>
      <c r="M1169" s="1474">
        <v>0</v>
      </c>
      <c r="N1169" s="1475">
        <v>1.4257922227891207</v>
      </c>
      <c r="O1169" s="1475"/>
    </row>
    <row r="1170" spans="11:15">
      <c r="K1170" s="1472">
        <v>43227</v>
      </c>
      <c r="L1170" s="1473" t="s">
        <v>2127</v>
      </c>
      <c r="M1170" s="1474">
        <v>2.462E-2</v>
      </c>
      <c r="N1170" s="1475">
        <v>1.4261432528343714</v>
      </c>
      <c r="O1170" s="1475"/>
    </row>
    <row r="1171" spans="11:15">
      <c r="K1171" s="1472">
        <v>43228</v>
      </c>
      <c r="L1171" s="1473" t="s">
        <v>2127</v>
      </c>
      <c r="M1171" s="1474">
        <v>2.462E-2</v>
      </c>
      <c r="N1171" s="1475">
        <v>1.4264943693032193</v>
      </c>
      <c r="O1171" s="1475"/>
    </row>
    <row r="1172" spans="11:15">
      <c r="K1172" s="1472">
        <v>43229</v>
      </c>
      <c r="L1172" s="1473" t="s">
        <v>2127</v>
      </c>
      <c r="M1172" s="1474">
        <v>2.462E-2</v>
      </c>
      <c r="N1172" s="1475">
        <v>1.4268455722169417</v>
      </c>
      <c r="O1172" s="1475"/>
    </row>
    <row r="1173" spans="11:15">
      <c r="K1173" s="1472">
        <v>43230</v>
      </c>
      <c r="L1173" s="1473" t="s">
        <v>2127</v>
      </c>
      <c r="M1173" s="1474">
        <v>2.462E-2</v>
      </c>
      <c r="N1173" s="1475">
        <v>1.4271968615968216</v>
      </c>
      <c r="O1173" s="1475"/>
    </row>
    <row r="1174" spans="11:15">
      <c r="K1174" s="1472">
        <v>43231</v>
      </c>
      <c r="L1174" s="1473" t="s">
        <v>2127</v>
      </c>
      <c r="M1174" s="1474">
        <v>2.462E-2</v>
      </c>
      <c r="N1174" s="1475">
        <v>1.4275482374641468</v>
      </c>
      <c r="O1174" s="1475"/>
    </row>
    <row r="1175" spans="11:15">
      <c r="K1175" s="1472">
        <v>43232</v>
      </c>
      <c r="L1175" s="1473"/>
      <c r="M1175" s="1474">
        <v>0</v>
      </c>
      <c r="N1175" s="1475">
        <v>1.4275482374641468</v>
      </c>
      <c r="O1175" s="1475"/>
    </row>
    <row r="1176" spans="11:15">
      <c r="K1176" s="1472">
        <v>43233</v>
      </c>
      <c r="L1176" s="1473"/>
      <c r="M1176" s="1474">
        <v>0</v>
      </c>
      <c r="N1176" s="1475">
        <v>1.4275482374641468</v>
      </c>
      <c r="O1176" s="1475"/>
    </row>
    <row r="1177" spans="11:15">
      <c r="K1177" s="1472">
        <v>43234</v>
      </c>
      <c r="L1177" s="1473" t="s">
        <v>2127</v>
      </c>
      <c r="M1177" s="1474">
        <v>2.462E-2</v>
      </c>
      <c r="N1177" s="1475">
        <v>1.4278996998402107</v>
      </c>
      <c r="O1177" s="1475"/>
    </row>
    <row r="1178" spans="11:15">
      <c r="K1178" s="1472">
        <v>43235</v>
      </c>
      <c r="L1178" s="1473" t="s">
        <v>2127</v>
      </c>
      <c r="M1178" s="1474">
        <v>2.462E-2</v>
      </c>
      <c r="N1178" s="1475">
        <v>1.4282512487463115</v>
      </c>
      <c r="O1178" s="1475"/>
    </row>
    <row r="1179" spans="11:15">
      <c r="K1179" s="1472">
        <v>43236</v>
      </c>
      <c r="L1179" s="1473" t="s">
        <v>2127</v>
      </c>
      <c r="M1179" s="1474">
        <v>2.462E-2</v>
      </c>
      <c r="N1179" s="1475">
        <v>1.428602884203753</v>
      </c>
      <c r="O1179" s="1475"/>
    </row>
    <row r="1180" spans="11:15">
      <c r="K1180" s="1472">
        <v>43237</v>
      </c>
      <c r="L1180" s="1473" t="s">
        <v>2127</v>
      </c>
      <c r="M1180" s="1474">
        <v>2.462E-2</v>
      </c>
      <c r="N1180" s="1475">
        <v>1.4289546062338441</v>
      </c>
      <c r="O1180" s="1475"/>
    </row>
    <row r="1181" spans="11:15">
      <c r="K1181" s="1472">
        <v>43238</v>
      </c>
      <c r="L1181" s="1473" t="s">
        <v>2127</v>
      </c>
      <c r="M1181" s="1474">
        <v>2.462E-2</v>
      </c>
      <c r="N1181" s="1475">
        <v>1.4293064148578989</v>
      </c>
      <c r="O1181" s="1475"/>
    </row>
    <row r="1182" spans="11:15">
      <c r="K1182" s="1472">
        <v>43239</v>
      </c>
      <c r="L1182" s="1473"/>
      <c r="M1182" s="1474">
        <v>0</v>
      </c>
      <c r="N1182" s="1475">
        <v>1.4293064148578989</v>
      </c>
      <c r="O1182" s="1475"/>
    </row>
    <row r="1183" spans="11:15">
      <c r="K1183" s="1472">
        <v>43240</v>
      </c>
      <c r="L1183" s="1473"/>
      <c r="M1183" s="1474">
        <v>0</v>
      </c>
      <c r="N1183" s="1475">
        <v>1.4293064148578989</v>
      </c>
      <c r="O1183" s="1475"/>
    </row>
    <row r="1184" spans="11:15">
      <c r="K1184" s="1472">
        <v>43241</v>
      </c>
      <c r="L1184" s="1473" t="s">
        <v>2127</v>
      </c>
      <c r="M1184" s="1474">
        <v>2.462E-2</v>
      </c>
      <c r="N1184" s="1475">
        <v>1.4296583100972371</v>
      </c>
      <c r="O1184" s="1475"/>
    </row>
    <row r="1185" spans="11:15">
      <c r="K1185" s="1472">
        <v>43242</v>
      </c>
      <c r="L1185" s="1473" t="s">
        <v>2127</v>
      </c>
      <c r="M1185" s="1474">
        <v>2.462E-2</v>
      </c>
      <c r="N1185" s="1475">
        <v>1.4300102919731832</v>
      </c>
      <c r="O1185" s="1475"/>
    </row>
    <row r="1186" spans="11:15">
      <c r="K1186" s="1472">
        <v>43243</v>
      </c>
      <c r="L1186" s="1473" t="s">
        <v>2127</v>
      </c>
      <c r="M1186" s="1474">
        <v>2.462E-2</v>
      </c>
      <c r="N1186" s="1475">
        <v>1.430362360507067</v>
      </c>
      <c r="O1186" s="1475"/>
    </row>
    <row r="1187" spans="11:15">
      <c r="K1187" s="1472">
        <v>43244</v>
      </c>
      <c r="L1187" s="1473" t="s">
        <v>2127</v>
      </c>
      <c r="M1187" s="1474">
        <v>2.462E-2</v>
      </c>
      <c r="N1187" s="1475">
        <v>1.4307145157202239</v>
      </c>
      <c r="O1187" s="1475"/>
    </row>
    <row r="1188" spans="11:15">
      <c r="K1188" s="1472">
        <v>43245</v>
      </c>
      <c r="L1188" s="1473" t="s">
        <v>2127</v>
      </c>
      <c r="M1188" s="1474">
        <v>2.462E-2</v>
      </c>
      <c r="N1188" s="1475">
        <v>1.4310667576339944</v>
      </c>
      <c r="O1188" s="1475"/>
    </row>
    <row r="1189" spans="11:15">
      <c r="K1189" s="1472">
        <v>43246</v>
      </c>
      <c r="L1189" s="1473"/>
      <c r="M1189" s="1474">
        <v>0</v>
      </c>
      <c r="N1189" s="1475">
        <v>1.4310667576339944</v>
      </c>
      <c r="O1189" s="1475"/>
    </row>
    <row r="1190" spans="11:15">
      <c r="K1190" s="1472">
        <v>43247</v>
      </c>
      <c r="L1190" s="1473"/>
      <c r="M1190" s="1474">
        <v>0</v>
      </c>
      <c r="N1190" s="1475">
        <v>1.4310667576339944</v>
      </c>
      <c r="O1190" s="1475"/>
    </row>
    <row r="1191" spans="11:15">
      <c r="K1191" s="1472">
        <v>43248</v>
      </c>
      <c r="L1191" s="1473" t="s">
        <v>2127</v>
      </c>
      <c r="M1191" s="1474">
        <v>2.462E-2</v>
      </c>
      <c r="N1191" s="1475">
        <v>1.431419086269724</v>
      </c>
      <c r="O1191" s="1475"/>
    </row>
    <row r="1192" spans="11:15">
      <c r="K1192" s="1472">
        <v>43249</v>
      </c>
      <c r="L1192" s="1473" t="s">
        <v>2127</v>
      </c>
      <c r="M1192" s="1474">
        <v>2.462E-2</v>
      </c>
      <c r="N1192" s="1475">
        <v>1.4317715016487638</v>
      </c>
      <c r="O1192" s="1475"/>
    </row>
    <row r="1193" spans="11:15">
      <c r="K1193" s="1472">
        <v>43250</v>
      </c>
      <c r="L1193" s="1473" t="s">
        <v>2127</v>
      </c>
      <c r="M1193" s="1474">
        <v>2.462E-2</v>
      </c>
      <c r="N1193" s="1475">
        <v>1.4321240037924698</v>
      </c>
      <c r="O1193" s="1475"/>
    </row>
    <row r="1194" spans="11:15">
      <c r="K1194" s="1472">
        <v>43251</v>
      </c>
      <c r="L1194" s="1473"/>
      <c r="M1194" s="1474">
        <v>0</v>
      </c>
      <c r="N1194" s="1475">
        <v>1.4321240037924698</v>
      </c>
      <c r="O1194" s="1475"/>
    </row>
    <row r="1195" spans="11:15">
      <c r="K1195" s="1472">
        <v>43252</v>
      </c>
      <c r="L1195" s="1473" t="s">
        <v>2127</v>
      </c>
      <c r="M1195" s="1474">
        <v>2.462E-2</v>
      </c>
      <c r="N1195" s="1475">
        <v>1.4324765927222036</v>
      </c>
      <c r="O1195" s="1475"/>
    </row>
    <row r="1196" spans="11:15">
      <c r="K1196" s="1472">
        <v>43253</v>
      </c>
      <c r="L1196" s="1473"/>
      <c r="M1196" s="1474">
        <v>0</v>
      </c>
      <c r="N1196" s="1475">
        <v>1.4324765927222036</v>
      </c>
      <c r="O1196" s="1475"/>
    </row>
    <row r="1197" spans="11:15">
      <c r="K1197" s="1472">
        <v>43254</v>
      </c>
      <c r="L1197" s="1473"/>
      <c r="M1197" s="1474">
        <v>0</v>
      </c>
      <c r="N1197" s="1475">
        <v>1.4324765927222036</v>
      </c>
      <c r="O1197" s="1475"/>
    </row>
    <row r="1198" spans="11:15">
      <c r="K1198" s="1472">
        <v>43255</v>
      </c>
      <c r="L1198" s="1473" t="s">
        <v>2127</v>
      </c>
      <c r="M1198" s="1474">
        <v>2.462E-2</v>
      </c>
      <c r="N1198" s="1475">
        <v>1.432829268459332</v>
      </c>
      <c r="O1198" s="1475"/>
    </row>
    <row r="1199" spans="11:15">
      <c r="K1199" s="1472">
        <v>43256</v>
      </c>
      <c r="L1199" s="1473" t="s">
        <v>2127</v>
      </c>
      <c r="M1199" s="1474">
        <v>2.462E-2</v>
      </c>
      <c r="N1199" s="1475">
        <v>1.4331820310252268</v>
      </c>
      <c r="O1199" s="1475"/>
    </row>
    <row r="1200" spans="11:15">
      <c r="K1200" s="1472">
        <v>43257</v>
      </c>
      <c r="L1200" s="1473" t="s">
        <v>2127</v>
      </c>
      <c r="M1200" s="1474">
        <v>2.462E-2</v>
      </c>
      <c r="N1200" s="1475">
        <v>1.4335348804412653</v>
      </c>
      <c r="O1200" s="1475"/>
    </row>
    <row r="1201" spans="11:15">
      <c r="K1201" s="1472">
        <v>43258</v>
      </c>
      <c r="L1201" s="1473" t="s">
        <v>2127</v>
      </c>
      <c r="M1201" s="1474">
        <v>2.462E-2</v>
      </c>
      <c r="N1201" s="1475">
        <v>1.43388781672883</v>
      </c>
      <c r="O1201" s="1475"/>
    </row>
    <row r="1202" spans="11:15">
      <c r="K1202" s="1472">
        <v>43259</v>
      </c>
      <c r="L1202" s="1473" t="s">
        <v>2127</v>
      </c>
      <c r="M1202" s="1474">
        <v>2.462E-2</v>
      </c>
      <c r="N1202" s="1475">
        <v>1.4342408399093087</v>
      </c>
      <c r="O1202" s="1475"/>
    </row>
    <row r="1203" spans="11:15">
      <c r="K1203" s="1472">
        <v>43260</v>
      </c>
      <c r="L1203" s="1473"/>
      <c r="M1203" s="1474">
        <v>0</v>
      </c>
      <c r="N1203" s="1475">
        <v>1.4342408399093087</v>
      </c>
      <c r="O1203" s="1475"/>
    </row>
    <row r="1204" spans="11:15">
      <c r="K1204" s="1472">
        <v>43261</v>
      </c>
      <c r="L1204" s="1473"/>
      <c r="M1204" s="1474">
        <v>0</v>
      </c>
      <c r="N1204" s="1475">
        <v>1.4342408399093087</v>
      </c>
      <c r="O1204" s="1475"/>
    </row>
    <row r="1205" spans="11:15">
      <c r="K1205" s="1472">
        <v>43262</v>
      </c>
      <c r="L1205" s="1473" t="s">
        <v>2127</v>
      </c>
      <c r="M1205" s="1474">
        <v>2.462E-2</v>
      </c>
      <c r="N1205" s="1475">
        <v>1.4345939500040945</v>
      </c>
      <c r="O1205" s="1475"/>
    </row>
    <row r="1206" spans="11:15">
      <c r="K1206" s="1472">
        <v>43263</v>
      </c>
      <c r="L1206" s="1473" t="s">
        <v>2127</v>
      </c>
      <c r="M1206" s="1474">
        <v>2.462E-2</v>
      </c>
      <c r="N1206" s="1475">
        <v>1.4349471470345856</v>
      </c>
      <c r="O1206" s="1475"/>
    </row>
    <row r="1207" spans="11:15">
      <c r="K1207" s="1472">
        <v>43264</v>
      </c>
      <c r="L1207" s="1473" t="s">
        <v>2127</v>
      </c>
      <c r="M1207" s="1474">
        <v>2.462E-2</v>
      </c>
      <c r="N1207" s="1475">
        <v>1.4353004310221855</v>
      </c>
      <c r="O1207" s="1475"/>
    </row>
    <row r="1208" spans="11:15">
      <c r="K1208" s="1472">
        <v>43265</v>
      </c>
      <c r="L1208" s="1473" t="s">
        <v>2127</v>
      </c>
      <c r="M1208" s="1474">
        <v>2.462E-2</v>
      </c>
      <c r="N1208" s="1475">
        <v>1.4356538019883034</v>
      </c>
      <c r="O1208" s="1475"/>
    </row>
    <row r="1209" spans="11:15">
      <c r="K1209" s="1472">
        <v>43266</v>
      </c>
      <c r="L1209" s="1473" t="s">
        <v>2127</v>
      </c>
      <c r="M1209" s="1474">
        <v>2.462E-2</v>
      </c>
      <c r="N1209" s="1475">
        <v>1.436007259954353</v>
      </c>
      <c r="O1209" s="1475"/>
    </row>
    <row r="1210" spans="11:15">
      <c r="K1210" s="1472">
        <v>43267</v>
      </c>
      <c r="L1210" s="1473"/>
      <c r="M1210" s="1474">
        <v>0</v>
      </c>
      <c r="N1210" s="1475">
        <v>1.436007259954353</v>
      </c>
      <c r="O1210" s="1475"/>
    </row>
    <row r="1211" spans="11:15">
      <c r="K1211" s="1472">
        <v>43268</v>
      </c>
      <c r="L1211" s="1473"/>
      <c r="M1211" s="1474">
        <v>0</v>
      </c>
      <c r="N1211" s="1475">
        <v>1.436007259954353</v>
      </c>
      <c r="O1211" s="1475"/>
    </row>
    <row r="1212" spans="11:15">
      <c r="K1212" s="1472">
        <v>43269</v>
      </c>
      <c r="L1212" s="1473" t="s">
        <v>2127</v>
      </c>
      <c r="M1212" s="1474">
        <v>2.462E-2</v>
      </c>
      <c r="N1212" s="1475">
        <v>1.4363608049417538</v>
      </c>
      <c r="O1212" s="1475"/>
    </row>
    <row r="1213" spans="11:15">
      <c r="K1213" s="1472">
        <v>43270</v>
      </c>
      <c r="L1213" s="1473" t="s">
        <v>2127</v>
      </c>
      <c r="M1213" s="1474">
        <v>2.462E-2</v>
      </c>
      <c r="N1213" s="1475">
        <v>1.4367144369719305</v>
      </c>
      <c r="O1213" s="1475"/>
    </row>
    <row r="1214" spans="11:15">
      <c r="K1214" s="1472">
        <v>43271</v>
      </c>
      <c r="L1214" s="1473" t="s">
        <v>2127</v>
      </c>
      <c r="M1214" s="1474">
        <v>2.462E-2</v>
      </c>
      <c r="N1214" s="1475">
        <v>1.437068156066313</v>
      </c>
      <c r="O1214" s="1475"/>
    </row>
    <row r="1215" spans="11:15">
      <c r="K1215" s="1472">
        <v>43272</v>
      </c>
      <c r="L1215" s="1473" t="s">
        <v>2127</v>
      </c>
      <c r="M1215" s="1474">
        <v>2.462E-2</v>
      </c>
      <c r="N1215" s="1475">
        <v>1.4374219622463367</v>
      </c>
      <c r="O1215" s="1475"/>
    </row>
    <row r="1216" spans="11:15">
      <c r="K1216" s="1472">
        <v>43273</v>
      </c>
      <c r="L1216" s="1473" t="s">
        <v>2127</v>
      </c>
      <c r="M1216" s="1474">
        <v>2.462E-2</v>
      </c>
      <c r="N1216" s="1475">
        <v>1.4377758555334419</v>
      </c>
      <c r="O1216" s="1475"/>
    </row>
    <row r="1217" spans="11:15">
      <c r="K1217" s="1472">
        <v>43274</v>
      </c>
      <c r="L1217" s="1473"/>
      <c r="M1217" s="1474">
        <v>0</v>
      </c>
      <c r="N1217" s="1475">
        <v>1.4377758555334419</v>
      </c>
      <c r="O1217" s="1475"/>
    </row>
    <row r="1218" spans="11:15">
      <c r="K1218" s="1472">
        <v>43275</v>
      </c>
      <c r="L1218" s="1473"/>
      <c r="M1218" s="1474">
        <v>0</v>
      </c>
      <c r="N1218" s="1475">
        <v>1.4377758555334419</v>
      </c>
      <c r="O1218" s="1475"/>
    </row>
    <row r="1219" spans="11:15">
      <c r="K1219" s="1472">
        <v>43276</v>
      </c>
      <c r="L1219" s="1473" t="s">
        <v>2127</v>
      </c>
      <c r="M1219" s="1474">
        <v>2.462E-2</v>
      </c>
      <c r="N1219" s="1475">
        <v>1.4381298359490744</v>
      </c>
      <c r="O1219" s="1475"/>
    </row>
    <row r="1220" spans="11:15">
      <c r="K1220" s="1472">
        <v>43277</v>
      </c>
      <c r="L1220" s="1473" t="s">
        <v>2127</v>
      </c>
      <c r="M1220" s="1474">
        <v>2.462E-2</v>
      </c>
      <c r="N1220" s="1475">
        <v>1.4384839035146852</v>
      </c>
      <c r="O1220" s="1475"/>
    </row>
    <row r="1221" spans="11:15">
      <c r="K1221" s="1472">
        <v>43278</v>
      </c>
      <c r="L1221" s="1473" t="s">
        <v>2127</v>
      </c>
      <c r="M1221" s="1474">
        <v>2.462E-2</v>
      </c>
      <c r="N1221" s="1475">
        <v>1.4388380582517306</v>
      </c>
      <c r="O1221" s="1475"/>
    </row>
    <row r="1222" spans="11:15">
      <c r="K1222" s="1472">
        <v>43279</v>
      </c>
      <c r="L1222" s="1473" t="s">
        <v>2127</v>
      </c>
      <c r="M1222" s="1474">
        <v>2.462E-2</v>
      </c>
      <c r="N1222" s="1475">
        <v>1.4391923001816722</v>
      </c>
      <c r="O1222" s="1475"/>
    </row>
    <row r="1223" spans="11:15">
      <c r="K1223" s="1472">
        <v>43280</v>
      </c>
      <c r="L1223" s="1473" t="s">
        <v>2127</v>
      </c>
      <c r="M1223" s="1474">
        <v>2.462E-2</v>
      </c>
      <c r="N1223" s="1475">
        <v>1.4395466293259771</v>
      </c>
      <c r="O1223" s="1475"/>
    </row>
    <row r="1224" spans="11:15">
      <c r="K1224" s="1472">
        <v>43281</v>
      </c>
      <c r="L1224" s="1473"/>
      <c r="M1224" s="1474">
        <v>0</v>
      </c>
      <c r="N1224" s="1475">
        <v>1.4395466293259771</v>
      </c>
      <c r="O1224" s="1475"/>
    </row>
    <row r="1225" spans="11:15">
      <c r="K1225" s="1472">
        <v>43282</v>
      </c>
      <c r="L1225" s="1473"/>
      <c r="M1225" s="1474">
        <v>0</v>
      </c>
      <c r="N1225" s="1475">
        <v>1.4395466293259771</v>
      </c>
      <c r="O1225" s="1475"/>
    </row>
    <row r="1226" spans="11:15">
      <c r="K1226" s="1472">
        <v>43283</v>
      </c>
      <c r="L1226" s="1473" t="s">
        <v>2127</v>
      </c>
      <c r="M1226" s="1474">
        <v>2.462E-2</v>
      </c>
      <c r="N1226" s="1475">
        <v>1.4399010457061172</v>
      </c>
      <c r="O1226" s="1475"/>
    </row>
    <row r="1227" spans="11:15">
      <c r="K1227" s="1472">
        <v>43284</v>
      </c>
      <c r="L1227" s="1473" t="s">
        <v>2127</v>
      </c>
      <c r="M1227" s="1474">
        <v>2.462E-2</v>
      </c>
      <c r="N1227" s="1475">
        <v>1.4402555493435703</v>
      </c>
      <c r="O1227" s="1475"/>
    </row>
    <row r="1228" spans="11:15">
      <c r="K1228" s="1472">
        <v>43285</v>
      </c>
      <c r="L1228" s="1473" t="s">
        <v>2127</v>
      </c>
      <c r="M1228" s="1474">
        <v>2.462E-2</v>
      </c>
      <c r="N1228" s="1475">
        <v>1.4406101402598188</v>
      </c>
      <c r="O1228" s="1475"/>
    </row>
    <row r="1229" spans="11:15">
      <c r="K1229" s="1472">
        <v>43286</v>
      </c>
      <c r="L1229" s="1473" t="s">
        <v>2127</v>
      </c>
      <c r="M1229" s="1474">
        <v>2.462E-2</v>
      </c>
      <c r="N1229" s="1475">
        <v>1.4409648184763508</v>
      </c>
      <c r="O1229" s="1475"/>
    </row>
    <row r="1230" spans="11:15">
      <c r="K1230" s="1472">
        <v>43287</v>
      </c>
      <c r="L1230" s="1473" t="s">
        <v>2127</v>
      </c>
      <c r="M1230" s="1474">
        <v>2.462E-2</v>
      </c>
      <c r="N1230" s="1475">
        <v>1.4413195840146598</v>
      </c>
      <c r="O1230" s="1475"/>
    </row>
    <row r="1231" spans="11:15">
      <c r="K1231" s="1472">
        <v>43288</v>
      </c>
      <c r="L1231" s="1473"/>
      <c r="M1231" s="1474">
        <v>0</v>
      </c>
      <c r="N1231" s="1475">
        <v>1.4413195840146598</v>
      </c>
      <c r="O1231" s="1475"/>
    </row>
    <row r="1232" spans="11:15">
      <c r="K1232" s="1472">
        <v>43289</v>
      </c>
      <c r="L1232" s="1473"/>
      <c r="M1232" s="1474">
        <v>0</v>
      </c>
      <c r="N1232" s="1475">
        <v>1.4413195840146598</v>
      </c>
      <c r="O1232" s="1475"/>
    </row>
    <row r="1233" spans="11:15">
      <c r="K1233" s="1472">
        <v>43290</v>
      </c>
      <c r="L1233" s="1473" t="s">
        <v>2127</v>
      </c>
      <c r="M1233" s="1474">
        <v>2.462E-2</v>
      </c>
      <c r="N1233" s="1475">
        <v>1.4416744368962442</v>
      </c>
      <c r="O1233" s="1475"/>
    </row>
    <row r="1234" spans="11:15">
      <c r="K1234" s="1472">
        <v>43291</v>
      </c>
      <c r="L1234" s="1473" t="s">
        <v>2127</v>
      </c>
      <c r="M1234" s="1474">
        <v>2.462E-2</v>
      </c>
      <c r="N1234" s="1475">
        <v>1.4420293771426083</v>
      </c>
      <c r="O1234" s="1475"/>
    </row>
    <row r="1235" spans="11:15">
      <c r="K1235" s="1472">
        <v>43292</v>
      </c>
      <c r="L1235" s="1473" t="s">
        <v>2127</v>
      </c>
      <c r="M1235" s="1474">
        <v>2.462E-2</v>
      </c>
      <c r="N1235" s="1475">
        <v>1.442384404775261</v>
      </c>
      <c r="O1235" s="1475"/>
    </row>
    <row r="1236" spans="11:15">
      <c r="K1236" s="1472">
        <v>43293</v>
      </c>
      <c r="L1236" s="1473" t="s">
        <v>2127</v>
      </c>
      <c r="M1236" s="1474">
        <v>2.462E-2</v>
      </c>
      <c r="N1236" s="1475">
        <v>1.4427395198157167</v>
      </c>
      <c r="O1236" s="1475"/>
    </row>
    <row r="1237" spans="11:15">
      <c r="K1237" s="1472">
        <v>43294</v>
      </c>
      <c r="L1237" s="1473" t="s">
        <v>2127</v>
      </c>
      <c r="M1237" s="1474">
        <v>2.462E-2</v>
      </c>
      <c r="N1237" s="1475">
        <v>1.4430947222854955</v>
      </c>
      <c r="O1237" s="1475"/>
    </row>
    <row r="1238" spans="11:15">
      <c r="K1238" s="1472">
        <v>43295</v>
      </c>
      <c r="L1238" s="1473"/>
      <c r="M1238" s="1474">
        <v>0</v>
      </c>
      <c r="N1238" s="1475">
        <v>1.4430947222854955</v>
      </c>
      <c r="O1238" s="1475"/>
    </row>
    <row r="1239" spans="11:15">
      <c r="K1239" s="1472">
        <v>43296</v>
      </c>
      <c r="L1239" s="1473"/>
      <c r="M1239" s="1474">
        <v>0</v>
      </c>
      <c r="N1239" s="1475">
        <v>1.4430947222854955</v>
      </c>
      <c r="O1239" s="1475"/>
    </row>
    <row r="1240" spans="11:15">
      <c r="K1240" s="1472">
        <v>43297</v>
      </c>
      <c r="L1240" s="1473" t="s">
        <v>2127</v>
      </c>
      <c r="M1240" s="1474">
        <v>2.462E-2</v>
      </c>
      <c r="N1240" s="1475">
        <v>1.4434500122061222</v>
      </c>
      <c r="O1240" s="1475"/>
    </row>
    <row r="1241" spans="11:15">
      <c r="K1241" s="1472">
        <v>43298</v>
      </c>
      <c r="L1241" s="1473" t="s">
        <v>2127</v>
      </c>
      <c r="M1241" s="1474">
        <v>2.462E-2</v>
      </c>
      <c r="N1241" s="1475">
        <v>1.4438053895991274</v>
      </c>
      <c r="O1241" s="1475"/>
    </row>
    <row r="1242" spans="11:15">
      <c r="K1242" s="1472">
        <v>43299</v>
      </c>
      <c r="L1242" s="1473" t="s">
        <v>2127</v>
      </c>
      <c r="M1242" s="1474">
        <v>2.462E-2</v>
      </c>
      <c r="N1242" s="1475">
        <v>1.4441608544860469</v>
      </c>
      <c r="O1242" s="1475"/>
    </row>
    <row r="1243" spans="11:15">
      <c r="K1243" s="1472">
        <v>43300</v>
      </c>
      <c r="L1243" s="1473" t="s">
        <v>2127</v>
      </c>
      <c r="M1243" s="1474">
        <v>2.462E-2</v>
      </c>
      <c r="N1243" s="1475">
        <v>1.4445164068884215</v>
      </c>
      <c r="O1243" s="1475"/>
    </row>
    <row r="1244" spans="11:15">
      <c r="K1244" s="1472">
        <v>43301</v>
      </c>
      <c r="L1244" s="1473" t="s">
        <v>2127</v>
      </c>
      <c r="M1244" s="1474">
        <v>2.462E-2</v>
      </c>
      <c r="N1244" s="1475">
        <v>1.4448720468277976</v>
      </c>
      <c r="O1244" s="1475"/>
    </row>
    <row r="1245" spans="11:15">
      <c r="K1245" s="1472">
        <v>43302</v>
      </c>
      <c r="L1245" s="1473"/>
      <c r="M1245" s="1474">
        <v>0</v>
      </c>
      <c r="N1245" s="1475">
        <v>1.4448720468277976</v>
      </c>
      <c r="O1245" s="1475"/>
    </row>
    <row r="1246" spans="11:15">
      <c r="K1246" s="1472">
        <v>43303</v>
      </c>
      <c r="L1246" s="1473"/>
      <c r="M1246" s="1474">
        <v>0</v>
      </c>
      <c r="N1246" s="1475">
        <v>1.4448720468277976</v>
      </c>
      <c r="O1246" s="1475"/>
    </row>
    <row r="1247" spans="11:15">
      <c r="K1247" s="1472">
        <v>43304</v>
      </c>
      <c r="L1247" s="1473" t="s">
        <v>2127</v>
      </c>
      <c r="M1247" s="1474">
        <v>2.462E-2</v>
      </c>
      <c r="N1247" s="1475">
        <v>1.4452277743257267</v>
      </c>
      <c r="O1247" s="1475"/>
    </row>
    <row r="1248" spans="11:15">
      <c r="K1248" s="1472">
        <v>43305</v>
      </c>
      <c r="L1248" s="1473" t="s">
        <v>2127</v>
      </c>
      <c r="M1248" s="1474">
        <v>2.462E-2</v>
      </c>
      <c r="N1248" s="1475">
        <v>1.4455835894037659</v>
      </c>
      <c r="O1248" s="1475"/>
    </row>
    <row r="1249" spans="11:15">
      <c r="K1249" s="1472">
        <v>43306</v>
      </c>
      <c r="L1249" s="1473" t="s">
        <v>2127</v>
      </c>
      <c r="M1249" s="1474">
        <v>2.462E-2</v>
      </c>
      <c r="N1249" s="1475">
        <v>1.4459394920834772</v>
      </c>
      <c r="O1249" s="1475"/>
    </row>
    <row r="1250" spans="11:15">
      <c r="K1250" s="1472">
        <v>43307</v>
      </c>
      <c r="L1250" s="1473" t="s">
        <v>2127</v>
      </c>
      <c r="M1250" s="1474">
        <v>2.462E-2</v>
      </c>
      <c r="N1250" s="1475">
        <v>1.4462954823864282</v>
      </c>
      <c r="O1250" s="1475"/>
    </row>
    <row r="1251" spans="11:15">
      <c r="K1251" s="1472">
        <v>43308</v>
      </c>
      <c r="L1251" s="1473" t="s">
        <v>2127</v>
      </c>
      <c r="M1251" s="1474">
        <v>2.462E-2</v>
      </c>
      <c r="N1251" s="1475">
        <v>1.4466515603341918</v>
      </c>
      <c r="O1251" s="1475"/>
    </row>
    <row r="1252" spans="11:15">
      <c r="K1252" s="1472">
        <v>43309</v>
      </c>
      <c r="L1252" s="1473"/>
      <c r="M1252" s="1474">
        <v>0</v>
      </c>
      <c r="N1252" s="1475">
        <v>1.4466515603341918</v>
      </c>
      <c r="O1252" s="1475"/>
    </row>
    <row r="1253" spans="11:15">
      <c r="K1253" s="1472">
        <v>43310</v>
      </c>
      <c r="L1253" s="1473"/>
      <c r="M1253" s="1474">
        <v>0</v>
      </c>
      <c r="N1253" s="1475">
        <v>1.4466515603341918</v>
      </c>
      <c r="O1253" s="1475"/>
    </row>
    <row r="1254" spans="11:15">
      <c r="K1254" s="1472">
        <v>43311</v>
      </c>
      <c r="L1254" s="1473" t="s">
        <v>2127</v>
      </c>
      <c r="M1254" s="1474">
        <v>2.462E-2</v>
      </c>
      <c r="N1254" s="1475">
        <v>1.4470077259483463</v>
      </c>
      <c r="O1254" s="1475"/>
    </row>
    <row r="1255" spans="11:15">
      <c r="K1255" s="1472">
        <v>43312</v>
      </c>
      <c r="L1255" s="1473" t="s">
        <v>2127</v>
      </c>
      <c r="M1255" s="1474">
        <v>2.462E-2</v>
      </c>
      <c r="N1255" s="1475">
        <v>1.4473639792504749</v>
      </c>
      <c r="O1255" s="1475"/>
    </row>
    <row r="1256" spans="11:15">
      <c r="K1256" s="1472">
        <v>43313</v>
      </c>
      <c r="L1256" s="1473" t="s">
        <v>2127</v>
      </c>
      <c r="M1256" s="1474">
        <v>2.462E-2</v>
      </c>
      <c r="N1256" s="1475">
        <v>1.4477203202621665</v>
      </c>
      <c r="O1256" s="1475"/>
    </row>
    <row r="1257" spans="11:15">
      <c r="K1257" s="1472">
        <v>43314</v>
      </c>
      <c r="L1257" s="1473" t="s">
        <v>2127</v>
      </c>
      <c r="M1257" s="1474">
        <v>2.462E-2</v>
      </c>
      <c r="N1257" s="1475">
        <v>1.448076749005015</v>
      </c>
      <c r="O1257" s="1475"/>
    </row>
    <row r="1258" spans="11:15">
      <c r="K1258" s="1472">
        <v>43315</v>
      </c>
      <c r="L1258" s="1473" t="s">
        <v>2127</v>
      </c>
      <c r="M1258" s="1474">
        <v>2.462E-2</v>
      </c>
      <c r="N1258" s="1475">
        <v>1.4484332655006202</v>
      </c>
      <c r="O1258" s="1475"/>
    </row>
    <row r="1259" spans="11:15">
      <c r="K1259" s="1472">
        <v>43316</v>
      </c>
      <c r="L1259" s="1473"/>
      <c r="M1259" s="1474">
        <v>0</v>
      </c>
      <c r="N1259" s="1475">
        <v>1.4484332655006202</v>
      </c>
      <c r="O1259" s="1475"/>
    </row>
    <row r="1260" spans="11:15">
      <c r="K1260" s="1472">
        <v>43317</v>
      </c>
      <c r="L1260" s="1473"/>
      <c r="M1260" s="1474">
        <v>0</v>
      </c>
      <c r="N1260" s="1475">
        <v>1.4484332655006202</v>
      </c>
      <c r="O1260" s="1475"/>
    </row>
    <row r="1261" spans="11:15">
      <c r="K1261" s="1472">
        <v>43318</v>
      </c>
      <c r="L1261" s="1473" t="s">
        <v>2127</v>
      </c>
      <c r="M1261" s="1474">
        <v>2.462E-2</v>
      </c>
      <c r="N1261" s="1475">
        <v>1.4487898697705865</v>
      </c>
      <c r="O1261" s="1475"/>
    </row>
    <row r="1262" spans="11:15">
      <c r="K1262" s="1472">
        <v>43319</v>
      </c>
      <c r="L1262" s="1473" t="s">
        <v>2127</v>
      </c>
      <c r="M1262" s="1474">
        <v>2.462E-2</v>
      </c>
      <c r="N1262" s="1475">
        <v>1.4491465618365242</v>
      </c>
      <c r="O1262" s="1475"/>
    </row>
    <row r="1263" spans="11:15">
      <c r="K1263" s="1472">
        <v>43320</v>
      </c>
      <c r="L1263" s="1473" t="s">
        <v>2127</v>
      </c>
      <c r="M1263" s="1474">
        <v>2.462E-2</v>
      </c>
      <c r="N1263" s="1475">
        <v>1.4495033417200485</v>
      </c>
      <c r="O1263" s="1475"/>
    </row>
    <row r="1264" spans="11:15">
      <c r="K1264" s="1472">
        <v>43321</v>
      </c>
      <c r="L1264" s="1473" t="s">
        <v>2127</v>
      </c>
      <c r="M1264" s="1474">
        <v>2.462E-2</v>
      </c>
      <c r="N1264" s="1475">
        <v>1.4498602094427802</v>
      </c>
      <c r="O1264" s="1475"/>
    </row>
    <row r="1265" spans="11:15">
      <c r="K1265" s="1472">
        <v>43322</v>
      </c>
      <c r="L1265" s="1473" t="s">
        <v>2127</v>
      </c>
      <c r="M1265" s="1474">
        <v>2.462E-2</v>
      </c>
      <c r="N1265" s="1475">
        <v>1.4502171650263451</v>
      </c>
      <c r="O1265" s="1475"/>
    </row>
    <row r="1266" spans="11:15">
      <c r="K1266" s="1472">
        <v>43323</v>
      </c>
      <c r="L1266" s="1473"/>
      <c r="M1266" s="1474">
        <v>0</v>
      </c>
      <c r="N1266" s="1475">
        <v>1.4502171650263451</v>
      </c>
      <c r="O1266" s="1475"/>
    </row>
    <row r="1267" spans="11:15">
      <c r="K1267" s="1472">
        <v>43324</v>
      </c>
      <c r="L1267" s="1473"/>
      <c r="M1267" s="1474">
        <v>0</v>
      </c>
      <c r="N1267" s="1475">
        <v>1.4502171650263451</v>
      </c>
      <c r="O1267" s="1475"/>
    </row>
    <row r="1268" spans="11:15">
      <c r="K1268" s="1472">
        <v>43325</v>
      </c>
      <c r="L1268" s="1473" t="s">
        <v>2127</v>
      </c>
      <c r="M1268" s="1474">
        <v>2.462E-2</v>
      </c>
      <c r="N1268" s="1475">
        <v>1.4505742084923747</v>
      </c>
      <c r="O1268" s="1475"/>
    </row>
    <row r="1269" spans="11:15">
      <c r="K1269" s="1472">
        <v>43326</v>
      </c>
      <c r="L1269" s="1473" t="s">
        <v>2127</v>
      </c>
      <c r="M1269" s="1474">
        <v>2.462E-2</v>
      </c>
      <c r="N1269" s="1475">
        <v>1.4509313398625057</v>
      </c>
      <c r="O1269" s="1475"/>
    </row>
    <row r="1270" spans="11:15">
      <c r="K1270" s="1472">
        <v>43327</v>
      </c>
      <c r="L1270" s="1473" t="s">
        <v>2127</v>
      </c>
      <c r="M1270" s="1474">
        <v>2.462E-2</v>
      </c>
      <c r="N1270" s="1475">
        <v>1.45128855915838</v>
      </c>
      <c r="O1270" s="1475"/>
    </row>
    <row r="1271" spans="11:15">
      <c r="K1271" s="1472">
        <v>43328</v>
      </c>
      <c r="L1271" s="1473" t="s">
        <v>2127</v>
      </c>
      <c r="M1271" s="1474">
        <v>2.462E-2</v>
      </c>
      <c r="N1271" s="1475">
        <v>1.4516458664016449</v>
      </c>
      <c r="O1271" s="1475"/>
    </row>
    <row r="1272" spans="11:15">
      <c r="K1272" s="1472">
        <v>43329</v>
      </c>
      <c r="L1272" s="1473" t="s">
        <v>2127</v>
      </c>
      <c r="M1272" s="1474">
        <v>2.462E-2</v>
      </c>
      <c r="N1272" s="1475">
        <v>1.4520032616139531</v>
      </c>
      <c r="O1272" s="1475"/>
    </row>
    <row r="1273" spans="11:15">
      <c r="K1273" s="1472">
        <v>43330</v>
      </c>
      <c r="L1273" s="1473"/>
      <c r="M1273" s="1474">
        <v>0</v>
      </c>
      <c r="N1273" s="1475">
        <v>1.4520032616139531</v>
      </c>
      <c r="O1273" s="1475"/>
    </row>
    <row r="1274" spans="11:15">
      <c r="K1274" s="1472">
        <v>43331</v>
      </c>
      <c r="L1274" s="1473"/>
      <c r="M1274" s="1474">
        <v>0</v>
      </c>
      <c r="N1274" s="1475">
        <v>1.4520032616139531</v>
      </c>
      <c r="O1274" s="1475"/>
    </row>
    <row r="1275" spans="11:15">
      <c r="K1275" s="1472">
        <v>43332</v>
      </c>
      <c r="L1275" s="1473" t="s">
        <v>2127</v>
      </c>
      <c r="M1275" s="1474">
        <v>2.462E-2</v>
      </c>
      <c r="N1275" s="1475">
        <v>1.4523607448169626</v>
      </c>
      <c r="O1275" s="1475"/>
    </row>
    <row r="1276" spans="11:15">
      <c r="K1276" s="1472">
        <v>43333</v>
      </c>
      <c r="L1276" s="1473" t="s">
        <v>2127</v>
      </c>
      <c r="M1276" s="1474">
        <v>2.462E-2</v>
      </c>
      <c r="N1276" s="1475">
        <v>1.4527183160323367</v>
      </c>
      <c r="O1276" s="1475"/>
    </row>
    <row r="1277" spans="11:15">
      <c r="K1277" s="1472">
        <v>43334</v>
      </c>
      <c r="L1277" s="1473" t="s">
        <v>2127</v>
      </c>
      <c r="M1277" s="1474">
        <v>2.462E-2</v>
      </c>
      <c r="N1277" s="1475">
        <v>1.4530759752817439</v>
      </c>
      <c r="O1277" s="1475"/>
    </row>
    <row r="1278" spans="11:15">
      <c r="K1278" s="1472">
        <v>43335</v>
      </c>
      <c r="L1278" s="1473" t="s">
        <v>2127</v>
      </c>
      <c r="M1278" s="1474">
        <v>2.462E-2</v>
      </c>
      <c r="N1278" s="1475">
        <v>1.4534337225868583</v>
      </c>
      <c r="O1278" s="1475"/>
    </row>
    <row r="1279" spans="11:15">
      <c r="K1279" s="1472">
        <v>43336</v>
      </c>
      <c r="L1279" s="1473" t="s">
        <v>2127</v>
      </c>
      <c r="M1279" s="1474">
        <v>2.462E-2</v>
      </c>
      <c r="N1279" s="1475">
        <v>1.4537915579693594</v>
      </c>
      <c r="O1279" s="1475"/>
    </row>
    <row r="1280" spans="11:15">
      <c r="K1280" s="1472">
        <v>43337</v>
      </c>
      <c r="L1280" s="1473"/>
      <c r="M1280" s="1474">
        <v>0</v>
      </c>
      <c r="N1280" s="1475">
        <v>1.4537915579693594</v>
      </c>
      <c r="O1280" s="1475"/>
    </row>
    <row r="1281" spans="11:15">
      <c r="K1281" s="1472">
        <v>43338</v>
      </c>
      <c r="L1281" s="1473"/>
      <c r="M1281" s="1474">
        <v>0</v>
      </c>
      <c r="N1281" s="1475">
        <v>1.4537915579693594</v>
      </c>
      <c r="O1281" s="1475"/>
    </row>
    <row r="1282" spans="11:15">
      <c r="K1282" s="1472">
        <v>43339</v>
      </c>
      <c r="L1282" s="1473" t="s">
        <v>2127</v>
      </c>
      <c r="M1282" s="1474">
        <v>2.462E-2</v>
      </c>
      <c r="N1282" s="1475">
        <v>1.4541494814509317</v>
      </c>
      <c r="O1282" s="1475"/>
    </row>
    <row r="1283" spans="11:15">
      <c r="K1283" s="1472">
        <v>43340</v>
      </c>
      <c r="L1283" s="1473" t="s">
        <v>2127</v>
      </c>
      <c r="M1283" s="1474">
        <v>2.462E-2</v>
      </c>
      <c r="N1283" s="1475">
        <v>1.4545074930532651</v>
      </c>
      <c r="O1283" s="1475"/>
    </row>
    <row r="1284" spans="11:15">
      <c r="K1284" s="1472">
        <v>43341</v>
      </c>
      <c r="L1284" s="1473" t="s">
        <v>2127</v>
      </c>
      <c r="M1284" s="1474">
        <v>2.462E-2</v>
      </c>
      <c r="N1284" s="1475">
        <v>1.4548655927980549</v>
      </c>
      <c r="O1284" s="1475"/>
    </row>
    <row r="1285" spans="11:15">
      <c r="K1285" s="1472">
        <v>43342</v>
      </c>
      <c r="L1285" s="1473" t="s">
        <v>2127</v>
      </c>
      <c r="M1285" s="1474">
        <v>2.462E-2</v>
      </c>
      <c r="N1285" s="1475">
        <v>1.4552237807070019</v>
      </c>
      <c r="O1285" s="1475"/>
    </row>
    <row r="1286" spans="11:15">
      <c r="K1286" s="1472">
        <v>43343</v>
      </c>
      <c r="L1286" s="1473" t="s">
        <v>2127</v>
      </c>
      <c r="M1286" s="1474">
        <v>2.462E-2</v>
      </c>
      <c r="N1286" s="1475">
        <v>1.4555820568018121</v>
      </c>
      <c r="O1286" s="1475"/>
    </row>
    <row r="1287" spans="11:15">
      <c r="K1287" s="1472">
        <v>43344</v>
      </c>
      <c r="L1287" s="1473"/>
      <c r="M1287" s="1474">
        <v>0</v>
      </c>
      <c r="N1287" s="1475">
        <v>1.4555820568018121</v>
      </c>
      <c r="O1287" s="1475"/>
    </row>
    <row r="1288" spans="11:15">
      <c r="K1288" s="1472">
        <v>43345</v>
      </c>
      <c r="L1288" s="1473"/>
      <c r="M1288" s="1474">
        <v>0</v>
      </c>
      <c r="N1288" s="1475">
        <v>1.4555820568018121</v>
      </c>
      <c r="O1288" s="1475"/>
    </row>
    <row r="1289" spans="11:15">
      <c r="K1289" s="1472">
        <v>43346</v>
      </c>
      <c r="L1289" s="1473" t="s">
        <v>2127</v>
      </c>
      <c r="M1289" s="1474">
        <v>2.462E-2</v>
      </c>
      <c r="N1289" s="1475">
        <v>1.4559404211041969</v>
      </c>
      <c r="O1289" s="1475"/>
    </row>
    <row r="1290" spans="11:15">
      <c r="K1290" s="1472">
        <v>43347</v>
      </c>
      <c r="L1290" s="1473" t="s">
        <v>2127</v>
      </c>
      <c r="M1290" s="1474">
        <v>2.462E-2</v>
      </c>
      <c r="N1290" s="1475">
        <v>1.4562988736358728</v>
      </c>
      <c r="O1290" s="1475"/>
    </row>
    <row r="1291" spans="11:15">
      <c r="K1291" s="1472">
        <v>43348</v>
      </c>
      <c r="L1291" s="1473" t="s">
        <v>2127</v>
      </c>
      <c r="M1291" s="1474">
        <v>2.462E-2</v>
      </c>
      <c r="N1291" s="1475">
        <v>1.4566574144185622</v>
      </c>
      <c r="O1291" s="1475"/>
    </row>
    <row r="1292" spans="11:15">
      <c r="K1292" s="1472">
        <v>43349</v>
      </c>
      <c r="L1292" s="1473" t="s">
        <v>2127</v>
      </c>
      <c r="M1292" s="1474">
        <v>2.462E-2</v>
      </c>
      <c r="N1292" s="1475">
        <v>1.4570160434739923</v>
      </c>
      <c r="O1292" s="1475"/>
    </row>
    <row r="1293" spans="11:15">
      <c r="K1293" s="1472">
        <v>43350</v>
      </c>
      <c r="L1293" s="1473"/>
      <c r="M1293" s="1474">
        <v>0</v>
      </c>
      <c r="N1293" s="1475">
        <v>1.4570160434739923</v>
      </c>
      <c r="O1293" s="1475"/>
    </row>
    <row r="1294" spans="11:15">
      <c r="K1294" s="1472">
        <v>43351</v>
      </c>
      <c r="L1294" s="1473"/>
      <c r="M1294" s="1474">
        <v>0</v>
      </c>
      <c r="N1294" s="1475">
        <v>1.4570160434739923</v>
      </c>
      <c r="O1294" s="1475"/>
    </row>
    <row r="1295" spans="11:15">
      <c r="K1295" s="1472">
        <v>43352</v>
      </c>
      <c r="L1295" s="1473"/>
      <c r="M1295" s="1474">
        <v>0</v>
      </c>
      <c r="N1295" s="1475">
        <v>1.4570160434739923</v>
      </c>
      <c r="O1295" s="1475"/>
    </row>
    <row r="1296" spans="11:15">
      <c r="K1296" s="1472">
        <v>43353</v>
      </c>
      <c r="L1296" s="1473" t="s">
        <v>2127</v>
      </c>
      <c r="M1296" s="1474">
        <v>2.462E-2</v>
      </c>
      <c r="N1296" s="1475">
        <v>1.4573747608238956</v>
      </c>
      <c r="O1296" s="1475"/>
    </row>
    <row r="1297" spans="11:15">
      <c r="K1297" s="1472">
        <v>43354</v>
      </c>
      <c r="L1297" s="1473" t="s">
        <v>2127</v>
      </c>
      <c r="M1297" s="1474">
        <v>2.462E-2</v>
      </c>
      <c r="N1297" s="1475">
        <v>1.4577335664900106</v>
      </c>
      <c r="O1297" s="1475"/>
    </row>
    <row r="1298" spans="11:15">
      <c r="K1298" s="1472">
        <v>43355</v>
      </c>
      <c r="L1298" s="1473" t="s">
        <v>2127</v>
      </c>
      <c r="M1298" s="1474">
        <v>2.462E-2</v>
      </c>
      <c r="N1298" s="1475">
        <v>1.4580924604940806</v>
      </c>
      <c r="O1298" s="1475"/>
    </row>
    <row r="1299" spans="11:15">
      <c r="K1299" s="1472">
        <v>43356</v>
      </c>
      <c r="L1299" s="1473" t="s">
        <v>2127</v>
      </c>
      <c r="M1299" s="1474">
        <v>2.462E-2</v>
      </c>
      <c r="N1299" s="1475">
        <v>1.4584514428578543</v>
      </c>
      <c r="O1299" s="1475"/>
    </row>
    <row r="1300" spans="11:15">
      <c r="K1300" s="1472">
        <v>43357</v>
      </c>
      <c r="L1300" s="1473" t="s">
        <v>2127</v>
      </c>
      <c r="M1300" s="1474">
        <v>2.462E-2</v>
      </c>
      <c r="N1300" s="1475">
        <v>1.458810513603086</v>
      </c>
      <c r="O1300" s="1475"/>
    </row>
    <row r="1301" spans="11:15">
      <c r="K1301" s="1472">
        <v>43358</v>
      </c>
      <c r="L1301" s="1473"/>
      <c r="M1301" s="1474">
        <v>0</v>
      </c>
      <c r="N1301" s="1475">
        <v>1.458810513603086</v>
      </c>
      <c r="O1301" s="1475"/>
    </row>
    <row r="1302" spans="11:15">
      <c r="K1302" s="1472">
        <v>43359</v>
      </c>
      <c r="L1302" s="1473"/>
      <c r="M1302" s="1474">
        <v>0</v>
      </c>
      <c r="N1302" s="1475">
        <v>1.458810513603086</v>
      </c>
      <c r="O1302" s="1475"/>
    </row>
    <row r="1303" spans="11:15">
      <c r="K1303" s="1472">
        <v>43360</v>
      </c>
      <c r="L1303" s="1473" t="s">
        <v>2127</v>
      </c>
      <c r="M1303" s="1474">
        <v>2.462E-2</v>
      </c>
      <c r="N1303" s="1475">
        <v>1.4591696727515353</v>
      </c>
      <c r="O1303" s="1475"/>
    </row>
    <row r="1304" spans="11:15">
      <c r="K1304" s="1472">
        <v>43361</v>
      </c>
      <c r="L1304" s="1473" t="s">
        <v>2127</v>
      </c>
      <c r="M1304" s="1474">
        <v>2.462E-2</v>
      </c>
      <c r="N1304" s="1475">
        <v>1.4595289203249668</v>
      </c>
      <c r="O1304" s="1475"/>
    </row>
    <row r="1305" spans="11:15">
      <c r="K1305" s="1472">
        <v>43362</v>
      </c>
      <c r="L1305" s="1473" t="s">
        <v>2127</v>
      </c>
      <c r="M1305" s="1474">
        <v>2.462E-2</v>
      </c>
      <c r="N1305" s="1475">
        <v>1.459888256345151</v>
      </c>
      <c r="O1305" s="1475"/>
    </row>
    <row r="1306" spans="11:15">
      <c r="K1306" s="1472">
        <v>43363</v>
      </c>
      <c r="L1306" s="1473" t="s">
        <v>2127</v>
      </c>
      <c r="M1306" s="1474">
        <v>2.462E-2</v>
      </c>
      <c r="N1306" s="1475">
        <v>1.4602476808338634</v>
      </c>
      <c r="O1306" s="1475"/>
    </row>
    <row r="1307" spans="11:15">
      <c r="K1307" s="1472">
        <v>43364</v>
      </c>
      <c r="L1307" s="1473" t="s">
        <v>2127</v>
      </c>
      <c r="M1307" s="1474">
        <v>2.462E-2</v>
      </c>
      <c r="N1307" s="1475">
        <v>1.4606071938128848</v>
      </c>
      <c r="O1307" s="1475"/>
    </row>
    <row r="1308" spans="11:15">
      <c r="K1308" s="1472">
        <v>43365</v>
      </c>
      <c r="L1308" s="1473"/>
      <c r="M1308" s="1474">
        <v>0</v>
      </c>
      <c r="N1308" s="1475">
        <v>1.4606071938128848</v>
      </c>
      <c r="O1308" s="1475"/>
    </row>
    <row r="1309" spans="11:15">
      <c r="K1309" s="1472">
        <v>43366</v>
      </c>
      <c r="L1309" s="1473"/>
      <c r="M1309" s="1474">
        <v>0</v>
      </c>
      <c r="N1309" s="1475">
        <v>1.4606071938128848</v>
      </c>
      <c r="O1309" s="1475"/>
    </row>
    <row r="1310" spans="11:15">
      <c r="K1310" s="1472">
        <v>43367</v>
      </c>
      <c r="L1310" s="1473" t="s">
        <v>2127</v>
      </c>
      <c r="M1310" s="1474">
        <v>2.462E-2</v>
      </c>
      <c r="N1310" s="1475">
        <v>1.4609667953040018</v>
      </c>
      <c r="O1310" s="1475"/>
    </row>
    <row r="1311" spans="11:15">
      <c r="K1311" s="1472">
        <v>43368</v>
      </c>
      <c r="L1311" s="1473" t="s">
        <v>2127</v>
      </c>
      <c r="M1311" s="1474">
        <v>2.462E-2</v>
      </c>
      <c r="N1311" s="1475">
        <v>1.4613264853290058</v>
      </c>
      <c r="O1311" s="1475"/>
    </row>
    <row r="1312" spans="11:15">
      <c r="K1312" s="1472">
        <v>43369</v>
      </c>
      <c r="L1312" s="1473" t="s">
        <v>2127</v>
      </c>
      <c r="M1312" s="1474">
        <v>2.462E-2</v>
      </c>
      <c r="N1312" s="1475">
        <v>1.4616862639096939</v>
      </c>
      <c r="O1312" s="1475"/>
    </row>
    <row r="1313" spans="11:15">
      <c r="K1313" s="1472">
        <v>43370</v>
      </c>
      <c r="L1313" s="1473" t="s">
        <v>2127</v>
      </c>
      <c r="M1313" s="1474">
        <v>2.462E-2</v>
      </c>
      <c r="N1313" s="1475">
        <v>1.4620461310678685</v>
      </c>
      <c r="O1313" s="1475"/>
    </row>
    <row r="1314" spans="11:15">
      <c r="K1314" s="1472">
        <v>43371</v>
      </c>
      <c r="L1314" s="1473" t="s">
        <v>2127</v>
      </c>
      <c r="M1314" s="1474">
        <v>2.462E-2</v>
      </c>
      <c r="N1314" s="1475">
        <v>1.4624060868253375</v>
      </c>
      <c r="O1314" s="1475"/>
    </row>
    <row r="1315" spans="11:15">
      <c r="K1315" s="1472">
        <v>43372</v>
      </c>
      <c r="L1315" s="1473"/>
      <c r="M1315" s="1474">
        <v>0</v>
      </c>
      <c r="N1315" s="1475">
        <v>1.4624060868253375</v>
      </c>
      <c r="O1315" s="1475"/>
    </row>
    <row r="1316" spans="11:15">
      <c r="K1316" s="1472">
        <v>43373</v>
      </c>
      <c r="L1316" s="1473"/>
      <c r="M1316" s="1474">
        <v>0</v>
      </c>
      <c r="N1316" s="1475">
        <v>1.4624060868253375</v>
      </c>
      <c r="O1316" s="1475"/>
    </row>
    <row r="1317" spans="11:15">
      <c r="K1317" s="1472">
        <v>43374</v>
      </c>
      <c r="L1317" s="1473" t="s">
        <v>2127</v>
      </c>
      <c r="M1317" s="1474">
        <v>2.462E-2</v>
      </c>
      <c r="N1317" s="1475">
        <v>1.462766131203914</v>
      </c>
      <c r="O1317" s="1475"/>
    </row>
    <row r="1318" spans="11:15">
      <c r="K1318" s="1472">
        <v>43375</v>
      </c>
      <c r="L1318" s="1473" t="s">
        <v>2127</v>
      </c>
      <c r="M1318" s="1474">
        <v>2.462E-2</v>
      </c>
      <c r="N1318" s="1475">
        <v>1.4631262642254166</v>
      </c>
      <c r="O1318" s="1475"/>
    </row>
    <row r="1319" spans="11:15">
      <c r="K1319" s="1472">
        <v>43376</v>
      </c>
      <c r="L1319" s="1473" t="s">
        <v>2127</v>
      </c>
      <c r="M1319" s="1474">
        <v>2.462E-2</v>
      </c>
      <c r="N1319" s="1475">
        <v>1.463486485911669</v>
      </c>
      <c r="O1319" s="1475"/>
    </row>
    <row r="1320" spans="11:15">
      <c r="K1320" s="1472">
        <v>43377</v>
      </c>
      <c r="L1320" s="1473" t="s">
        <v>2127</v>
      </c>
      <c r="M1320" s="1474">
        <v>2.462E-2</v>
      </c>
      <c r="N1320" s="1475">
        <v>1.4638467962845005</v>
      </c>
      <c r="O1320" s="1475"/>
    </row>
    <row r="1321" spans="11:15">
      <c r="K1321" s="1472">
        <v>43378</v>
      </c>
      <c r="L1321" s="1473" t="s">
        <v>2127</v>
      </c>
      <c r="M1321" s="1474">
        <v>2.462E-2</v>
      </c>
      <c r="N1321" s="1475">
        <v>1.4642071953657458</v>
      </c>
      <c r="O1321" s="1475"/>
    </row>
    <row r="1322" spans="11:15">
      <c r="K1322" s="1472">
        <v>43379</v>
      </c>
      <c r="L1322" s="1473"/>
      <c r="M1322" s="1474">
        <v>0</v>
      </c>
      <c r="N1322" s="1475">
        <v>1.4642071953657458</v>
      </c>
      <c r="O1322" s="1475"/>
    </row>
    <row r="1323" spans="11:15">
      <c r="K1323" s="1472">
        <v>43380</v>
      </c>
      <c r="L1323" s="1473"/>
      <c r="M1323" s="1474">
        <v>0</v>
      </c>
      <c r="N1323" s="1475">
        <v>1.4642071953657458</v>
      </c>
      <c r="O1323" s="1475"/>
    </row>
    <row r="1324" spans="11:15">
      <c r="K1324" s="1472">
        <v>43381</v>
      </c>
      <c r="L1324" s="1473" t="s">
        <v>2127</v>
      </c>
      <c r="M1324" s="1474">
        <v>2.462E-2</v>
      </c>
      <c r="N1324" s="1475">
        <v>1.4645676831772449</v>
      </c>
      <c r="O1324" s="1475"/>
    </row>
    <row r="1325" spans="11:15">
      <c r="K1325" s="1472">
        <v>43382</v>
      </c>
      <c r="L1325" s="1473" t="s">
        <v>2127</v>
      </c>
      <c r="M1325" s="1474">
        <v>2.462E-2</v>
      </c>
      <c r="N1325" s="1475">
        <v>1.4649282597408433</v>
      </c>
      <c r="O1325" s="1475"/>
    </row>
    <row r="1326" spans="11:15">
      <c r="K1326" s="1472">
        <v>43383</v>
      </c>
      <c r="L1326" s="1473" t="s">
        <v>2127</v>
      </c>
      <c r="M1326" s="1474">
        <v>2.462E-2</v>
      </c>
      <c r="N1326" s="1475">
        <v>1.4652889250783916</v>
      </c>
      <c r="O1326" s="1475"/>
    </row>
    <row r="1327" spans="11:15">
      <c r="K1327" s="1472">
        <v>43384</v>
      </c>
      <c r="L1327" s="1473" t="s">
        <v>2127</v>
      </c>
      <c r="M1327" s="1474">
        <v>2.462E-2</v>
      </c>
      <c r="N1327" s="1475">
        <v>1.4656496792117459</v>
      </c>
      <c r="O1327" s="1475"/>
    </row>
    <row r="1328" spans="11:15">
      <c r="K1328" s="1472">
        <v>43385</v>
      </c>
      <c r="L1328" s="1473"/>
      <c r="M1328" s="1474">
        <v>0</v>
      </c>
      <c r="N1328" s="1475">
        <v>1.4656496792117459</v>
      </c>
      <c r="O1328" s="1475"/>
    </row>
    <row r="1329" spans="11:15">
      <c r="K1329" s="1472">
        <v>43386</v>
      </c>
      <c r="L1329" s="1473"/>
      <c r="M1329" s="1474">
        <v>0</v>
      </c>
      <c r="N1329" s="1475">
        <v>1.4656496792117459</v>
      </c>
      <c r="O1329" s="1475"/>
    </row>
    <row r="1330" spans="11:15">
      <c r="K1330" s="1472">
        <v>43387</v>
      </c>
      <c r="L1330" s="1473"/>
      <c r="M1330" s="1474">
        <v>0</v>
      </c>
      <c r="N1330" s="1475">
        <v>1.4656496792117459</v>
      </c>
      <c r="O1330" s="1475"/>
    </row>
    <row r="1331" spans="11:15">
      <c r="K1331" s="1472">
        <v>43388</v>
      </c>
      <c r="L1331" s="1473" t="s">
        <v>2127</v>
      </c>
      <c r="M1331" s="1474">
        <v>2.462E-2</v>
      </c>
      <c r="N1331" s="1475">
        <v>1.4660105221627679</v>
      </c>
      <c r="O1331" s="1475"/>
    </row>
    <row r="1332" spans="11:15">
      <c r="K1332" s="1472">
        <v>43389</v>
      </c>
      <c r="L1332" s="1473" t="s">
        <v>2127</v>
      </c>
      <c r="M1332" s="1474">
        <v>2.462E-2</v>
      </c>
      <c r="N1332" s="1475">
        <v>1.4663714539533246</v>
      </c>
      <c r="O1332" s="1475"/>
    </row>
    <row r="1333" spans="11:15">
      <c r="K1333" s="1472">
        <v>43390</v>
      </c>
      <c r="L1333" s="1473" t="s">
        <v>2127</v>
      </c>
      <c r="M1333" s="1474">
        <v>2.462E-2</v>
      </c>
      <c r="N1333" s="1475">
        <v>1.4667324746052881</v>
      </c>
      <c r="O1333" s="1475"/>
    </row>
    <row r="1334" spans="11:15">
      <c r="K1334" s="1472">
        <v>43391</v>
      </c>
      <c r="L1334" s="1473" t="s">
        <v>2127</v>
      </c>
      <c r="M1334" s="1474">
        <v>2.462E-2</v>
      </c>
      <c r="N1334" s="1475">
        <v>1.4670935841405361</v>
      </c>
      <c r="O1334" s="1475"/>
    </row>
    <row r="1335" spans="11:15">
      <c r="K1335" s="1472">
        <v>43392</v>
      </c>
      <c r="L1335" s="1473" t="s">
        <v>2127</v>
      </c>
      <c r="M1335" s="1474">
        <v>2.462E-2</v>
      </c>
      <c r="N1335" s="1475">
        <v>1.4674547825809516</v>
      </c>
      <c r="O1335" s="1475"/>
    </row>
    <row r="1336" spans="11:15">
      <c r="K1336" s="1472">
        <v>43393</v>
      </c>
      <c r="L1336" s="1473"/>
      <c r="M1336" s="1474">
        <v>0</v>
      </c>
      <c r="N1336" s="1475">
        <v>1.4674547825809516</v>
      </c>
      <c r="O1336" s="1475"/>
    </row>
    <row r="1337" spans="11:15">
      <c r="K1337" s="1472">
        <v>43394</v>
      </c>
      <c r="L1337" s="1473"/>
      <c r="M1337" s="1474">
        <v>0</v>
      </c>
      <c r="N1337" s="1475">
        <v>1.4674547825809516</v>
      </c>
      <c r="O1337" s="1475"/>
    </row>
    <row r="1338" spans="11:15">
      <c r="K1338" s="1472">
        <v>43395</v>
      </c>
      <c r="L1338" s="1473" t="s">
        <v>2127</v>
      </c>
      <c r="M1338" s="1474">
        <v>2.462E-2</v>
      </c>
      <c r="N1338" s="1475">
        <v>1.4678160699484233</v>
      </c>
      <c r="O1338" s="1475"/>
    </row>
    <row r="1339" spans="11:15">
      <c r="K1339" s="1472">
        <v>43396</v>
      </c>
      <c r="L1339" s="1473" t="s">
        <v>2127</v>
      </c>
      <c r="M1339" s="1474">
        <v>2.462E-2</v>
      </c>
      <c r="N1339" s="1475">
        <v>1.4681774462648447</v>
      </c>
      <c r="O1339" s="1475"/>
    </row>
    <row r="1340" spans="11:15">
      <c r="K1340" s="1472">
        <v>43397</v>
      </c>
      <c r="L1340" s="1473" t="s">
        <v>2127</v>
      </c>
      <c r="M1340" s="1474">
        <v>2.462E-2</v>
      </c>
      <c r="N1340" s="1475">
        <v>1.4685389115521152</v>
      </c>
      <c r="O1340" s="1475"/>
    </row>
    <row r="1341" spans="11:15">
      <c r="K1341" s="1472">
        <v>43398</v>
      </c>
      <c r="L1341" s="1473" t="s">
        <v>2127</v>
      </c>
      <c r="M1341" s="1474">
        <v>2.462E-2</v>
      </c>
      <c r="N1341" s="1475">
        <v>1.4689004658321394</v>
      </c>
      <c r="O1341" s="1475"/>
    </row>
    <row r="1342" spans="11:15">
      <c r="K1342" s="1472">
        <v>43399</v>
      </c>
      <c r="L1342" s="1473" t="s">
        <v>2127</v>
      </c>
      <c r="M1342" s="1474">
        <v>2.462E-2</v>
      </c>
      <c r="N1342" s="1475">
        <v>1.4692621091268274</v>
      </c>
      <c r="O1342" s="1475"/>
    </row>
    <row r="1343" spans="11:15">
      <c r="K1343" s="1472">
        <v>43400</v>
      </c>
      <c r="L1343" s="1473"/>
      <c r="M1343" s="1474">
        <v>0</v>
      </c>
      <c r="N1343" s="1475">
        <v>1.4692621091268274</v>
      </c>
      <c r="O1343" s="1475"/>
    </row>
    <row r="1344" spans="11:15">
      <c r="K1344" s="1472">
        <v>43401</v>
      </c>
      <c r="L1344" s="1473"/>
      <c r="M1344" s="1474">
        <v>0</v>
      </c>
      <c r="N1344" s="1475">
        <v>1.4692621091268274</v>
      </c>
      <c r="O1344" s="1475"/>
    </row>
    <row r="1345" spans="11:15">
      <c r="K1345" s="1472">
        <v>43402</v>
      </c>
      <c r="L1345" s="1473" t="s">
        <v>2127</v>
      </c>
      <c r="M1345" s="1474">
        <v>2.462E-2</v>
      </c>
      <c r="N1345" s="1475">
        <v>1.4696238414580947</v>
      </c>
      <c r="O1345" s="1475"/>
    </row>
    <row r="1346" spans="11:15">
      <c r="K1346" s="1472">
        <v>43403</v>
      </c>
      <c r="L1346" s="1473" t="s">
        <v>2127</v>
      </c>
      <c r="M1346" s="1474">
        <v>2.462E-2</v>
      </c>
      <c r="N1346" s="1475">
        <v>1.4699856628478618</v>
      </c>
      <c r="O1346" s="1475"/>
    </row>
    <row r="1347" spans="11:15">
      <c r="K1347" s="1472">
        <v>43404</v>
      </c>
      <c r="L1347" s="1473" t="s">
        <v>2127</v>
      </c>
      <c r="M1347" s="1474">
        <v>2.462E-2</v>
      </c>
      <c r="N1347" s="1475">
        <v>1.4703475733180551</v>
      </c>
      <c r="O1347" s="1475"/>
    </row>
    <row r="1348" spans="11:15">
      <c r="K1348" s="1472">
        <v>43405</v>
      </c>
      <c r="L1348" s="1473" t="s">
        <v>2127</v>
      </c>
      <c r="M1348" s="1474">
        <v>2.462E-2</v>
      </c>
      <c r="N1348" s="1475">
        <v>1.4707095728906061</v>
      </c>
      <c r="O1348" s="1475"/>
    </row>
    <row r="1349" spans="11:15">
      <c r="K1349" s="1472">
        <v>43406</v>
      </c>
      <c r="L1349" s="1473"/>
      <c r="M1349" s="1474">
        <v>0</v>
      </c>
      <c r="N1349" s="1475">
        <v>1.4707095728906061</v>
      </c>
      <c r="O1349" s="1475"/>
    </row>
    <row r="1350" spans="11:15">
      <c r="K1350" s="1472">
        <v>43407</v>
      </c>
      <c r="L1350" s="1473"/>
      <c r="M1350" s="1474">
        <v>0</v>
      </c>
      <c r="N1350" s="1475">
        <v>1.4707095728906061</v>
      </c>
      <c r="O1350" s="1475"/>
    </row>
    <row r="1351" spans="11:15">
      <c r="K1351" s="1472">
        <v>43408</v>
      </c>
      <c r="L1351" s="1473"/>
      <c r="M1351" s="1474">
        <v>0</v>
      </c>
      <c r="N1351" s="1475">
        <v>1.4707095728906061</v>
      </c>
      <c r="O1351" s="1475"/>
    </row>
    <row r="1352" spans="11:15">
      <c r="K1352" s="1472">
        <v>43409</v>
      </c>
      <c r="L1352" s="1473" t="s">
        <v>2127</v>
      </c>
      <c r="M1352" s="1474">
        <v>2.462E-2</v>
      </c>
      <c r="N1352" s="1475">
        <v>1.471071661587452</v>
      </c>
      <c r="O1352" s="1475"/>
    </row>
    <row r="1353" spans="11:15">
      <c r="K1353" s="1472">
        <v>43410</v>
      </c>
      <c r="L1353" s="1473" t="s">
        <v>2127</v>
      </c>
      <c r="M1353" s="1474">
        <v>2.462E-2</v>
      </c>
      <c r="N1353" s="1475">
        <v>1.4714338394305349</v>
      </c>
      <c r="O1353" s="1475"/>
    </row>
    <row r="1354" spans="11:15">
      <c r="K1354" s="1472">
        <v>43411</v>
      </c>
      <c r="L1354" s="1473" t="s">
        <v>2127</v>
      </c>
      <c r="M1354" s="1474">
        <v>2.462E-2</v>
      </c>
      <c r="N1354" s="1475">
        <v>1.4717961064418028</v>
      </c>
      <c r="O1354" s="1475"/>
    </row>
    <row r="1355" spans="11:15">
      <c r="K1355" s="1472">
        <v>43412</v>
      </c>
      <c r="L1355" s="1473" t="s">
        <v>2127</v>
      </c>
      <c r="M1355" s="1474">
        <v>2.462E-2</v>
      </c>
      <c r="N1355" s="1475">
        <v>1.4721584626432089</v>
      </c>
      <c r="O1355" s="1475"/>
    </row>
    <row r="1356" spans="11:15">
      <c r="K1356" s="1472">
        <v>43413</v>
      </c>
      <c r="L1356" s="1473" t="s">
        <v>2127</v>
      </c>
      <c r="M1356" s="1474">
        <v>2.462E-2</v>
      </c>
      <c r="N1356" s="1475">
        <v>1.4725209080567119</v>
      </c>
      <c r="O1356" s="1475"/>
    </row>
    <row r="1357" spans="11:15">
      <c r="K1357" s="1472">
        <v>43414</v>
      </c>
      <c r="L1357" s="1473"/>
      <c r="M1357" s="1474">
        <v>0</v>
      </c>
      <c r="N1357" s="1475">
        <v>1.4725209080567119</v>
      </c>
      <c r="O1357" s="1475"/>
    </row>
    <row r="1358" spans="11:15">
      <c r="K1358" s="1472">
        <v>43415</v>
      </c>
      <c r="L1358" s="1473"/>
      <c r="M1358" s="1474">
        <v>0</v>
      </c>
      <c r="N1358" s="1475">
        <v>1.4725209080567119</v>
      </c>
      <c r="O1358" s="1475"/>
    </row>
    <row r="1359" spans="11:15">
      <c r="K1359" s="1472">
        <v>43416</v>
      </c>
      <c r="L1359" s="1473" t="s">
        <v>2127</v>
      </c>
      <c r="M1359" s="1474">
        <v>2.462E-2</v>
      </c>
      <c r="N1359" s="1475">
        <v>1.4728834427042756</v>
      </c>
      <c r="O1359" s="1475"/>
    </row>
    <row r="1360" spans="11:15">
      <c r="K1360" s="1472">
        <v>43417</v>
      </c>
      <c r="L1360" s="1473" t="s">
        <v>2127</v>
      </c>
      <c r="M1360" s="1474">
        <v>2.462E-2</v>
      </c>
      <c r="N1360" s="1475">
        <v>1.4732460666078695</v>
      </c>
      <c r="O1360" s="1475"/>
    </row>
    <row r="1361" spans="11:15">
      <c r="K1361" s="1472">
        <v>43418</v>
      </c>
      <c r="L1361" s="1473" t="s">
        <v>2127</v>
      </c>
      <c r="M1361" s="1474">
        <v>2.462E-2</v>
      </c>
      <c r="N1361" s="1475">
        <v>1.4736087797894686</v>
      </c>
      <c r="O1361" s="1475"/>
    </row>
    <row r="1362" spans="11:15">
      <c r="K1362" s="1472">
        <v>43419</v>
      </c>
      <c r="L1362" s="1473"/>
      <c r="M1362" s="1474">
        <v>0</v>
      </c>
      <c r="N1362" s="1475">
        <v>1.4736087797894686</v>
      </c>
      <c r="O1362" s="1475"/>
    </row>
    <row r="1363" spans="11:15">
      <c r="K1363" s="1472">
        <v>43420</v>
      </c>
      <c r="L1363" s="1473" t="s">
        <v>2127</v>
      </c>
      <c r="M1363" s="1474">
        <v>2.462E-2</v>
      </c>
      <c r="N1363" s="1475">
        <v>1.4739715822710528</v>
      </c>
      <c r="O1363" s="1475"/>
    </row>
    <row r="1364" spans="11:15">
      <c r="K1364" s="1472">
        <v>43421</v>
      </c>
      <c r="L1364" s="1473"/>
      <c r="M1364" s="1474">
        <v>0</v>
      </c>
      <c r="N1364" s="1475">
        <v>1.4739715822710528</v>
      </c>
      <c r="O1364" s="1475"/>
    </row>
    <row r="1365" spans="11:15">
      <c r="K1365" s="1472">
        <v>43422</v>
      </c>
      <c r="L1365" s="1473"/>
      <c r="M1365" s="1474">
        <v>0</v>
      </c>
      <c r="N1365" s="1475">
        <v>1.4739715822710528</v>
      </c>
      <c r="O1365" s="1475"/>
    </row>
    <row r="1366" spans="11:15">
      <c r="K1366" s="1472">
        <v>43423</v>
      </c>
      <c r="L1366" s="1473" t="s">
        <v>2127</v>
      </c>
      <c r="M1366" s="1474">
        <v>2.462E-2</v>
      </c>
      <c r="N1366" s="1475">
        <v>1.474334474074608</v>
      </c>
      <c r="O1366" s="1475"/>
    </row>
    <row r="1367" spans="11:15">
      <c r="K1367" s="1472">
        <v>43424</v>
      </c>
      <c r="L1367" s="1473" t="s">
        <v>2127</v>
      </c>
      <c r="M1367" s="1474">
        <v>2.462E-2</v>
      </c>
      <c r="N1367" s="1475">
        <v>1.4746974552221253</v>
      </c>
      <c r="O1367" s="1475"/>
    </row>
    <row r="1368" spans="11:15">
      <c r="K1368" s="1472">
        <v>43425</v>
      </c>
      <c r="L1368" s="1473" t="s">
        <v>2127</v>
      </c>
      <c r="M1368" s="1474">
        <v>2.462E-2</v>
      </c>
      <c r="N1368" s="1475">
        <v>1.4750605257356011</v>
      </c>
      <c r="O1368" s="1475"/>
    </row>
    <row r="1369" spans="11:15">
      <c r="K1369" s="1472">
        <v>43426</v>
      </c>
      <c r="L1369" s="1473" t="s">
        <v>2127</v>
      </c>
      <c r="M1369" s="1474">
        <v>2.462E-2</v>
      </c>
      <c r="N1369" s="1475">
        <v>1.4754236856370373</v>
      </c>
      <c r="O1369" s="1475"/>
    </row>
    <row r="1370" spans="11:15">
      <c r="K1370" s="1472">
        <v>43427</v>
      </c>
      <c r="L1370" s="1473" t="s">
        <v>2127</v>
      </c>
      <c r="M1370" s="1474">
        <v>2.462E-2</v>
      </c>
      <c r="N1370" s="1475">
        <v>1.4757869349484412</v>
      </c>
      <c r="O1370" s="1475"/>
    </row>
    <row r="1371" spans="11:15">
      <c r="K1371" s="1472">
        <v>43428</v>
      </c>
      <c r="L1371" s="1473"/>
      <c r="M1371" s="1474">
        <v>0</v>
      </c>
      <c r="N1371" s="1475">
        <v>1.4757869349484412</v>
      </c>
      <c r="O1371" s="1475"/>
    </row>
    <row r="1372" spans="11:15">
      <c r="K1372" s="1472">
        <v>43429</v>
      </c>
      <c r="L1372" s="1473"/>
      <c r="M1372" s="1474">
        <v>0</v>
      </c>
      <c r="N1372" s="1475">
        <v>1.4757869349484412</v>
      </c>
      <c r="O1372" s="1475"/>
    </row>
    <row r="1373" spans="11:15">
      <c r="K1373" s="1472">
        <v>43430</v>
      </c>
      <c r="L1373" s="1473" t="s">
        <v>2127</v>
      </c>
      <c r="M1373" s="1474">
        <v>2.462E-2</v>
      </c>
      <c r="N1373" s="1475">
        <v>1.4761502736918255</v>
      </c>
      <c r="O1373" s="1475"/>
    </row>
    <row r="1374" spans="11:15">
      <c r="K1374" s="1472">
        <v>43431</v>
      </c>
      <c r="L1374" s="1473" t="s">
        <v>2127</v>
      </c>
      <c r="M1374" s="1474">
        <v>2.462E-2</v>
      </c>
      <c r="N1374" s="1475">
        <v>1.4765137018892085</v>
      </c>
      <c r="O1374" s="1475"/>
    </row>
    <row r="1375" spans="11:15">
      <c r="K1375" s="1472">
        <v>43432</v>
      </c>
      <c r="L1375" s="1473" t="s">
        <v>2127</v>
      </c>
      <c r="M1375" s="1474">
        <v>2.462E-2</v>
      </c>
      <c r="N1375" s="1475">
        <v>1.4768772195626136</v>
      </c>
      <c r="O1375" s="1475"/>
    </row>
    <row r="1376" spans="11:15">
      <c r="K1376" s="1472">
        <v>43433</v>
      </c>
      <c r="L1376" s="1473" t="s">
        <v>2127</v>
      </c>
      <c r="M1376" s="1474">
        <v>2.462E-2</v>
      </c>
      <c r="N1376" s="1475">
        <v>1.47724082673407</v>
      </c>
      <c r="O1376" s="1475"/>
    </row>
    <row r="1377" spans="11:15">
      <c r="K1377" s="1472">
        <v>43434</v>
      </c>
      <c r="L1377" s="1473" t="s">
        <v>2127</v>
      </c>
      <c r="M1377" s="1474">
        <v>2.462E-2</v>
      </c>
      <c r="N1377" s="1475">
        <v>1.4776045234256121</v>
      </c>
      <c r="O1377" s="1475"/>
    </row>
    <row r="1378" spans="11:15">
      <c r="K1378" s="1472">
        <v>43435</v>
      </c>
      <c r="L1378" s="1473"/>
      <c r="M1378" s="1474">
        <v>0</v>
      </c>
      <c r="N1378" s="1475">
        <v>1.4776045234256121</v>
      </c>
      <c r="O1378" s="1475"/>
    </row>
    <row r="1379" spans="11:15">
      <c r="K1379" s="1472">
        <v>43436</v>
      </c>
      <c r="L1379" s="1473"/>
      <c r="M1379" s="1474">
        <v>0</v>
      </c>
      <c r="N1379" s="1475">
        <v>1.4776045234256121</v>
      </c>
      <c r="O1379" s="1475"/>
    </row>
    <row r="1380" spans="11:15">
      <c r="K1380" s="1472">
        <v>43437</v>
      </c>
      <c r="L1380" s="1473" t="s">
        <v>2127</v>
      </c>
      <c r="M1380" s="1474">
        <v>2.462E-2</v>
      </c>
      <c r="N1380" s="1475">
        <v>1.4779683096592797</v>
      </c>
      <c r="O1380" s="1475"/>
    </row>
    <row r="1381" spans="11:15">
      <c r="K1381" s="1472">
        <v>43438</v>
      </c>
      <c r="L1381" s="1473" t="s">
        <v>2127</v>
      </c>
      <c r="M1381" s="1474">
        <v>2.462E-2</v>
      </c>
      <c r="N1381" s="1475">
        <v>1.4783321854571179</v>
      </c>
      <c r="O1381" s="1475"/>
    </row>
    <row r="1382" spans="11:15">
      <c r="K1382" s="1472">
        <v>43439</v>
      </c>
      <c r="L1382" s="1473" t="s">
        <v>2127</v>
      </c>
      <c r="M1382" s="1474">
        <v>2.462E-2</v>
      </c>
      <c r="N1382" s="1475">
        <v>1.4786961508411776</v>
      </c>
      <c r="O1382" s="1475"/>
    </row>
    <row r="1383" spans="11:15">
      <c r="K1383" s="1472">
        <v>43440</v>
      </c>
      <c r="L1383" s="1473" t="s">
        <v>2127</v>
      </c>
      <c r="M1383" s="1474">
        <v>2.462E-2</v>
      </c>
      <c r="N1383" s="1475">
        <v>1.4790602058335147</v>
      </c>
      <c r="O1383" s="1475"/>
    </row>
    <row r="1384" spans="11:15">
      <c r="K1384" s="1472">
        <v>43441</v>
      </c>
      <c r="L1384" s="1473" t="s">
        <v>2127</v>
      </c>
      <c r="M1384" s="1474">
        <v>2.462E-2</v>
      </c>
      <c r="N1384" s="1475">
        <v>1.479424350456191</v>
      </c>
      <c r="O1384" s="1475"/>
    </row>
    <row r="1385" spans="11:15">
      <c r="K1385" s="1472">
        <v>43442</v>
      </c>
      <c r="L1385" s="1473"/>
      <c r="M1385" s="1474">
        <v>0</v>
      </c>
      <c r="N1385" s="1475">
        <v>1.479424350456191</v>
      </c>
      <c r="O1385" s="1475"/>
    </row>
    <row r="1386" spans="11:15">
      <c r="K1386" s="1472">
        <v>43443</v>
      </c>
      <c r="L1386" s="1473"/>
      <c r="M1386" s="1474">
        <v>0</v>
      </c>
      <c r="N1386" s="1475">
        <v>1.479424350456191</v>
      </c>
      <c r="O1386" s="1475"/>
    </row>
    <row r="1387" spans="11:15">
      <c r="K1387" s="1472">
        <v>43444</v>
      </c>
      <c r="L1387" s="1473" t="s">
        <v>2127</v>
      </c>
      <c r="M1387" s="1474">
        <v>2.462E-2</v>
      </c>
      <c r="N1387" s="1475">
        <v>1.4797885847312735</v>
      </c>
      <c r="O1387" s="1475"/>
    </row>
    <row r="1388" spans="11:15">
      <c r="K1388" s="1472">
        <v>43445</v>
      </c>
      <c r="L1388" s="1473" t="s">
        <v>2127</v>
      </c>
      <c r="M1388" s="1474">
        <v>2.462E-2</v>
      </c>
      <c r="N1388" s="1475">
        <v>1.4801529086808345</v>
      </c>
      <c r="O1388" s="1475"/>
    </row>
    <row r="1389" spans="11:15">
      <c r="K1389" s="1472">
        <v>43446</v>
      </c>
      <c r="L1389" s="1473" t="s">
        <v>2127</v>
      </c>
      <c r="M1389" s="1474">
        <v>2.462E-2</v>
      </c>
      <c r="N1389" s="1475">
        <v>1.4805173223269519</v>
      </c>
      <c r="O1389" s="1475"/>
    </row>
    <row r="1390" spans="11:15">
      <c r="K1390" s="1472">
        <v>43447</v>
      </c>
      <c r="L1390" s="1473" t="s">
        <v>2127</v>
      </c>
      <c r="M1390" s="1474">
        <v>2.462E-2</v>
      </c>
      <c r="N1390" s="1475">
        <v>1.4808818256917089</v>
      </c>
      <c r="O1390" s="1475"/>
    </row>
    <row r="1391" spans="11:15">
      <c r="K1391" s="1472">
        <v>43448</v>
      </c>
      <c r="L1391" s="1473" t="s">
        <v>2127</v>
      </c>
      <c r="M1391" s="1474">
        <v>2.462E-2</v>
      </c>
      <c r="N1391" s="1475">
        <v>1.4812464187971943</v>
      </c>
      <c r="O1391" s="1475"/>
    </row>
    <row r="1392" spans="11:15">
      <c r="K1392" s="1472">
        <v>43449</v>
      </c>
      <c r="L1392" s="1473"/>
      <c r="M1392" s="1474">
        <v>0</v>
      </c>
      <c r="N1392" s="1475">
        <v>1.4812464187971943</v>
      </c>
      <c r="O1392" s="1475"/>
    </row>
    <row r="1393" spans="11:15">
      <c r="K1393" s="1472">
        <v>43450</v>
      </c>
      <c r="L1393" s="1473"/>
      <c r="M1393" s="1474">
        <v>0</v>
      </c>
      <c r="N1393" s="1475">
        <v>1.4812464187971943</v>
      </c>
      <c r="O1393" s="1475"/>
    </row>
    <row r="1394" spans="11:15">
      <c r="K1394" s="1472">
        <v>43451</v>
      </c>
      <c r="L1394" s="1473" t="s">
        <v>2127</v>
      </c>
      <c r="M1394" s="1474">
        <v>2.462E-2</v>
      </c>
      <c r="N1394" s="1475">
        <v>1.4816111016655023</v>
      </c>
      <c r="O1394" s="1475"/>
    </row>
    <row r="1395" spans="11:15">
      <c r="K1395" s="1472">
        <v>43452</v>
      </c>
      <c r="L1395" s="1473" t="s">
        <v>2127</v>
      </c>
      <c r="M1395" s="1474">
        <v>2.462E-2</v>
      </c>
      <c r="N1395" s="1475">
        <v>1.4819758743187323</v>
      </c>
      <c r="O1395" s="1475"/>
    </row>
    <row r="1396" spans="11:15">
      <c r="K1396" s="1472">
        <v>43453</v>
      </c>
      <c r="L1396" s="1473" t="s">
        <v>2127</v>
      </c>
      <c r="M1396" s="1474">
        <v>2.462E-2</v>
      </c>
      <c r="N1396" s="1475">
        <v>1.4823407367789898</v>
      </c>
      <c r="O1396" s="1475"/>
    </row>
    <row r="1397" spans="11:15">
      <c r="K1397" s="1472">
        <v>43454</v>
      </c>
      <c r="L1397" s="1473" t="s">
        <v>2127</v>
      </c>
      <c r="M1397" s="1474">
        <v>2.462E-2</v>
      </c>
      <c r="N1397" s="1475">
        <v>1.482705689068385</v>
      </c>
      <c r="O1397" s="1475"/>
    </row>
    <row r="1398" spans="11:15">
      <c r="K1398" s="1472">
        <v>43455</v>
      </c>
      <c r="L1398" s="1473" t="s">
        <v>2127</v>
      </c>
      <c r="M1398" s="1474">
        <v>2.462E-2</v>
      </c>
      <c r="N1398" s="1475">
        <v>1.4830707312090337</v>
      </c>
      <c r="O1398" s="1475"/>
    </row>
    <row r="1399" spans="11:15">
      <c r="K1399" s="1472">
        <v>43456</v>
      </c>
      <c r="L1399" s="1473"/>
      <c r="M1399" s="1474">
        <v>0</v>
      </c>
      <c r="N1399" s="1475">
        <v>1.4830707312090337</v>
      </c>
      <c r="O1399" s="1475"/>
    </row>
    <row r="1400" spans="11:15">
      <c r="K1400" s="1472">
        <v>43457</v>
      </c>
      <c r="L1400" s="1473"/>
      <c r="M1400" s="1474">
        <v>0</v>
      </c>
      <c r="N1400" s="1475">
        <v>1.4830707312090337</v>
      </c>
      <c r="O1400" s="1475"/>
    </row>
    <row r="1401" spans="11:15">
      <c r="K1401" s="1472">
        <v>43458</v>
      </c>
      <c r="L1401" s="1473" t="s">
        <v>2127</v>
      </c>
      <c r="M1401" s="1474">
        <v>2.462E-2</v>
      </c>
      <c r="N1401" s="1475">
        <v>1.4834358632230575</v>
      </c>
      <c r="O1401" s="1475"/>
    </row>
    <row r="1402" spans="11:15">
      <c r="K1402" s="1472">
        <v>43459</v>
      </c>
      <c r="L1402" s="1473"/>
      <c r="M1402" s="1474">
        <v>0</v>
      </c>
      <c r="N1402" s="1475">
        <v>1.4834358632230575</v>
      </c>
      <c r="O1402" s="1475"/>
    </row>
    <row r="1403" spans="11:15">
      <c r="K1403" s="1472">
        <v>43460</v>
      </c>
      <c r="L1403" s="1473" t="s">
        <v>2127</v>
      </c>
      <c r="M1403" s="1474">
        <v>2.462E-2</v>
      </c>
      <c r="N1403" s="1475">
        <v>1.4838010851325831</v>
      </c>
      <c r="O1403" s="1475"/>
    </row>
    <row r="1404" spans="11:15">
      <c r="K1404" s="1472">
        <v>43461</v>
      </c>
      <c r="L1404" s="1473" t="s">
        <v>2127</v>
      </c>
      <c r="M1404" s="1474">
        <v>2.462E-2</v>
      </c>
      <c r="N1404" s="1475">
        <v>1.484166396959743</v>
      </c>
      <c r="O1404" s="1475"/>
    </row>
    <row r="1405" spans="11:15">
      <c r="K1405" s="1472">
        <v>43462</v>
      </c>
      <c r="L1405" s="1473" t="s">
        <v>2127</v>
      </c>
      <c r="M1405" s="1474">
        <v>2.462E-2</v>
      </c>
      <c r="N1405" s="1475">
        <v>1.4845317987266746</v>
      </c>
      <c r="O1405" s="1475"/>
    </row>
    <row r="1406" spans="11:15">
      <c r="K1406" s="1472">
        <v>43463</v>
      </c>
      <c r="L1406" s="1473"/>
      <c r="M1406" s="1474">
        <v>0</v>
      </c>
      <c r="N1406" s="1475">
        <v>1.4845317987266746</v>
      </c>
      <c r="O1406" s="1475"/>
    </row>
    <row r="1407" spans="11:15">
      <c r="K1407" s="1472">
        <v>43464</v>
      </c>
      <c r="L1407" s="1473"/>
      <c r="M1407" s="1474">
        <v>0</v>
      </c>
      <c r="N1407" s="1475">
        <v>1.4845317987266746</v>
      </c>
      <c r="O1407" s="1475"/>
    </row>
    <row r="1408" spans="11:15">
      <c r="K1408" s="1472">
        <v>43465</v>
      </c>
      <c r="L1408" s="1473" t="s">
        <v>2127</v>
      </c>
      <c r="M1408" s="1474">
        <v>2.462E-2</v>
      </c>
      <c r="N1408" s="1475">
        <v>1.4848972904555213</v>
      </c>
      <c r="O1408" s="1475"/>
    </row>
    <row r="1409" spans="11:15">
      <c r="K1409" s="1472">
        <v>43466</v>
      </c>
      <c r="L1409" s="1473"/>
      <c r="M1409" s="1474">
        <v>0</v>
      </c>
      <c r="N1409" s="1475">
        <v>1.4848972904555213</v>
      </c>
      <c r="O1409" s="1475"/>
    </row>
    <row r="1410" spans="11:15">
      <c r="K1410" s="1472">
        <v>43467</v>
      </c>
      <c r="L1410" s="1473" t="s">
        <v>2127</v>
      </c>
      <c r="M1410" s="1474">
        <v>2.462E-2</v>
      </c>
      <c r="N1410" s="1475">
        <v>1.4852628721684316</v>
      </c>
      <c r="O1410" s="1475"/>
    </row>
    <row r="1411" spans="11:15">
      <c r="K1411" s="1472">
        <v>43468</v>
      </c>
      <c r="L1411" s="1473" t="s">
        <v>2127</v>
      </c>
      <c r="M1411" s="1474">
        <v>2.462E-2</v>
      </c>
      <c r="N1411" s="1475">
        <v>1.4856285438875596</v>
      </c>
      <c r="O1411" s="1475"/>
    </row>
    <row r="1412" spans="11:15">
      <c r="K1412" s="1472">
        <v>43469</v>
      </c>
      <c r="L1412" s="1473" t="s">
        <v>2127</v>
      </c>
      <c r="M1412" s="1474">
        <v>2.462E-2</v>
      </c>
      <c r="N1412" s="1475">
        <v>1.4859943056350648</v>
      </c>
      <c r="O1412" s="1475"/>
    </row>
    <row r="1413" spans="11:15">
      <c r="K1413" s="1472">
        <v>43470</v>
      </c>
      <c r="L1413" s="1473"/>
      <c r="M1413" s="1474">
        <v>0</v>
      </c>
      <c r="N1413" s="1475">
        <v>1.4859943056350648</v>
      </c>
      <c r="O1413" s="1475"/>
    </row>
    <row r="1414" spans="11:15">
      <c r="K1414" s="1472">
        <v>43471</v>
      </c>
      <c r="L1414" s="1473"/>
      <c r="M1414" s="1474">
        <v>0</v>
      </c>
      <c r="N1414" s="1475">
        <v>1.4859943056350648</v>
      </c>
      <c r="O1414" s="1475"/>
    </row>
    <row r="1415" spans="11:15">
      <c r="K1415" s="1472">
        <v>43472</v>
      </c>
      <c r="L1415" s="1473" t="s">
        <v>2127</v>
      </c>
      <c r="M1415" s="1474">
        <v>2.462E-2</v>
      </c>
      <c r="N1415" s="1475">
        <v>1.4863601574331122</v>
      </c>
      <c r="O1415" s="1475"/>
    </row>
    <row r="1416" spans="11:15">
      <c r="K1416" s="1472">
        <v>43473</v>
      </c>
      <c r="L1416" s="1473" t="s">
        <v>2127</v>
      </c>
      <c r="M1416" s="1474">
        <v>2.462E-2</v>
      </c>
      <c r="N1416" s="1475">
        <v>1.4867260993038725</v>
      </c>
      <c r="O1416" s="1475"/>
    </row>
    <row r="1417" spans="11:15">
      <c r="K1417" s="1472">
        <v>43474</v>
      </c>
      <c r="L1417" s="1473" t="s">
        <v>2127</v>
      </c>
      <c r="M1417" s="1474">
        <v>2.462E-2</v>
      </c>
      <c r="N1417" s="1475">
        <v>1.4870921312695211</v>
      </c>
      <c r="O1417" s="1475"/>
    </row>
    <row r="1418" spans="11:15">
      <c r="K1418" s="1472">
        <v>43475</v>
      </c>
      <c r="L1418" s="1473" t="s">
        <v>2127</v>
      </c>
      <c r="M1418" s="1474">
        <v>2.462E-2</v>
      </c>
      <c r="N1418" s="1475">
        <v>1.4874582533522398</v>
      </c>
      <c r="O1418" s="1475"/>
    </row>
    <row r="1419" spans="11:15">
      <c r="K1419" s="1472">
        <v>43476</v>
      </c>
      <c r="L1419" s="1473" t="s">
        <v>2127</v>
      </c>
      <c r="M1419" s="1474">
        <v>2.462E-2</v>
      </c>
      <c r="N1419" s="1475">
        <v>1.4878244655742152</v>
      </c>
      <c r="O1419" s="1475"/>
    </row>
    <row r="1420" spans="11:15">
      <c r="K1420" s="1472">
        <v>43477</v>
      </c>
      <c r="L1420" s="1473"/>
      <c r="M1420" s="1474">
        <v>0</v>
      </c>
      <c r="N1420" s="1475">
        <v>1.4878244655742152</v>
      </c>
      <c r="O1420" s="1475"/>
    </row>
    <row r="1421" spans="11:15">
      <c r="K1421" s="1472">
        <v>43478</v>
      </c>
      <c r="L1421" s="1473"/>
      <c r="M1421" s="1474">
        <v>0</v>
      </c>
      <c r="N1421" s="1475">
        <v>1.4878244655742152</v>
      </c>
      <c r="O1421" s="1475"/>
    </row>
    <row r="1422" spans="11:15">
      <c r="K1422" s="1472">
        <v>43479</v>
      </c>
      <c r="L1422" s="1473" t="s">
        <v>2127</v>
      </c>
      <c r="M1422" s="1474">
        <v>2.462E-2</v>
      </c>
      <c r="N1422" s="1475">
        <v>1.4881907679576396</v>
      </c>
      <c r="O1422" s="1475"/>
    </row>
    <row r="1423" spans="11:15">
      <c r="K1423" s="1472">
        <v>43480</v>
      </c>
      <c r="L1423" s="1473" t="s">
        <v>2127</v>
      </c>
      <c r="M1423" s="1474">
        <v>2.462E-2</v>
      </c>
      <c r="N1423" s="1475">
        <v>1.488557160524711</v>
      </c>
      <c r="O1423" s="1475"/>
    </row>
    <row r="1424" spans="11:15">
      <c r="K1424" s="1472">
        <v>43481</v>
      </c>
      <c r="L1424" s="1473" t="s">
        <v>2127</v>
      </c>
      <c r="M1424" s="1474">
        <v>2.462E-2</v>
      </c>
      <c r="N1424" s="1475">
        <v>1.4889236432976323</v>
      </c>
      <c r="O1424" s="1475"/>
    </row>
    <row r="1425" spans="11:15">
      <c r="K1425" s="1472">
        <v>43482</v>
      </c>
      <c r="L1425" s="1473" t="s">
        <v>2127</v>
      </c>
      <c r="M1425" s="1474">
        <v>2.462E-2</v>
      </c>
      <c r="N1425" s="1475">
        <v>1.4892902162986124</v>
      </c>
      <c r="O1425" s="1475"/>
    </row>
    <row r="1426" spans="11:15">
      <c r="K1426" s="1472">
        <v>43483</v>
      </c>
      <c r="L1426" s="1473" t="s">
        <v>2127</v>
      </c>
      <c r="M1426" s="1474">
        <v>2.462E-2</v>
      </c>
      <c r="N1426" s="1475">
        <v>1.4896568795498653</v>
      </c>
      <c r="O1426" s="1475"/>
    </row>
    <row r="1427" spans="11:15">
      <c r="K1427" s="1472">
        <v>43484</v>
      </c>
      <c r="L1427" s="1473"/>
      <c r="M1427" s="1474">
        <v>0</v>
      </c>
      <c r="N1427" s="1475">
        <v>1.4896568795498653</v>
      </c>
      <c r="O1427" s="1475"/>
    </row>
    <row r="1428" spans="11:15">
      <c r="K1428" s="1472">
        <v>43485</v>
      </c>
      <c r="L1428" s="1473"/>
      <c r="M1428" s="1474">
        <v>0</v>
      </c>
      <c r="N1428" s="1475">
        <v>1.4896568795498653</v>
      </c>
      <c r="O1428" s="1475"/>
    </row>
    <row r="1429" spans="11:15">
      <c r="K1429" s="1472">
        <v>43486</v>
      </c>
      <c r="L1429" s="1473" t="s">
        <v>2127</v>
      </c>
      <c r="M1429" s="1474">
        <v>2.462E-2</v>
      </c>
      <c r="N1429" s="1475">
        <v>1.4900236330736105</v>
      </c>
      <c r="O1429" s="1475"/>
    </row>
    <row r="1430" spans="11:15">
      <c r="K1430" s="1472">
        <v>43487</v>
      </c>
      <c r="L1430" s="1473" t="s">
        <v>2127</v>
      </c>
      <c r="M1430" s="1474">
        <v>2.462E-2</v>
      </c>
      <c r="N1430" s="1475">
        <v>1.4903904768920733</v>
      </c>
      <c r="O1430" s="1475"/>
    </row>
    <row r="1431" spans="11:15">
      <c r="K1431" s="1472">
        <v>43488</v>
      </c>
      <c r="L1431" s="1473" t="s">
        <v>2127</v>
      </c>
      <c r="M1431" s="1474">
        <v>2.462E-2</v>
      </c>
      <c r="N1431" s="1475">
        <v>1.4907574110274842</v>
      </c>
      <c r="O1431" s="1475"/>
    </row>
    <row r="1432" spans="11:15">
      <c r="K1432" s="1472">
        <v>43489</v>
      </c>
      <c r="L1432" s="1473" t="s">
        <v>2127</v>
      </c>
      <c r="M1432" s="1474">
        <v>2.462E-2</v>
      </c>
      <c r="N1432" s="1475">
        <v>1.4911244355020792</v>
      </c>
      <c r="O1432" s="1475"/>
    </row>
    <row r="1433" spans="11:15">
      <c r="K1433" s="1472">
        <v>43490</v>
      </c>
      <c r="L1433" s="1473" t="s">
        <v>2127</v>
      </c>
      <c r="M1433" s="1474">
        <v>2.462E-2</v>
      </c>
      <c r="N1433" s="1475">
        <v>1.4914915503380999</v>
      </c>
      <c r="O1433" s="1475"/>
    </row>
    <row r="1434" spans="11:15">
      <c r="K1434" s="1472">
        <v>43491</v>
      </c>
      <c r="L1434" s="1473"/>
      <c r="M1434" s="1474">
        <v>0</v>
      </c>
      <c r="N1434" s="1475">
        <v>1.4914915503380999</v>
      </c>
      <c r="O1434" s="1475"/>
    </row>
    <row r="1435" spans="11:15">
      <c r="K1435" s="1472">
        <v>43492</v>
      </c>
      <c r="L1435" s="1473"/>
      <c r="M1435" s="1474">
        <v>0</v>
      </c>
      <c r="N1435" s="1475">
        <v>1.4914915503380999</v>
      </c>
      <c r="O1435" s="1475"/>
    </row>
    <row r="1436" spans="11:15">
      <c r="K1436" s="1472">
        <v>43493</v>
      </c>
      <c r="L1436" s="1473" t="s">
        <v>2127</v>
      </c>
      <c r="M1436" s="1474">
        <v>2.462E-2</v>
      </c>
      <c r="N1436" s="1475">
        <v>1.4918587555577933</v>
      </c>
      <c r="O1436" s="1475"/>
    </row>
    <row r="1437" spans="11:15">
      <c r="K1437" s="1472">
        <v>43494</v>
      </c>
      <c r="L1437" s="1473" t="s">
        <v>2127</v>
      </c>
      <c r="M1437" s="1474">
        <v>2.462E-2</v>
      </c>
      <c r="N1437" s="1475">
        <v>1.4922260511834118</v>
      </c>
      <c r="O1437" s="1475"/>
    </row>
    <row r="1438" spans="11:15">
      <c r="K1438" s="1472">
        <v>43495</v>
      </c>
      <c r="L1438" s="1473" t="s">
        <v>2127</v>
      </c>
      <c r="M1438" s="1474">
        <v>2.462E-2</v>
      </c>
      <c r="N1438" s="1475">
        <v>1.4925934372372132</v>
      </c>
      <c r="O1438" s="1475"/>
    </row>
    <row r="1439" spans="11:15">
      <c r="K1439" s="1472">
        <v>43496</v>
      </c>
      <c r="L1439" s="1473" t="s">
        <v>2127</v>
      </c>
      <c r="M1439" s="1474">
        <v>2.462E-2</v>
      </c>
      <c r="N1439" s="1475">
        <v>1.492960913741461</v>
      </c>
      <c r="O1439" s="1475"/>
    </row>
    <row r="1440" spans="11:15">
      <c r="K1440" s="1472">
        <v>43497</v>
      </c>
      <c r="L1440" s="1473" t="s">
        <v>2127</v>
      </c>
      <c r="M1440" s="1474">
        <v>2.462E-2</v>
      </c>
      <c r="N1440" s="1475">
        <v>1.4933284807184244</v>
      </c>
      <c r="O1440" s="1475"/>
    </row>
    <row r="1441" spans="11:15">
      <c r="K1441" s="1472">
        <v>43498</v>
      </c>
      <c r="L1441" s="1473"/>
      <c r="M1441" s="1474">
        <v>0</v>
      </c>
      <c r="N1441" s="1475">
        <v>1.4933284807184244</v>
      </c>
      <c r="O1441" s="1475"/>
    </row>
    <row r="1442" spans="11:15">
      <c r="K1442" s="1472">
        <v>43499</v>
      </c>
      <c r="L1442" s="1473"/>
      <c r="M1442" s="1474">
        <v>0</v>
      </c>
      <c r="N1442" s="1475">
        <v>1.4933284807184244</v>
      </c>
      <c r="O1442" s="1475"/>
    </row>
    <row r="1443" spans="11:15">
      <c r="K1443" s="1472">
        <v>43500</v>
      </c>
      <c r="L1443" s="1473" t="s">
        <v>2127</v>
      </c>
      <c r="M1443" s="1474">
        <v>2.462E-2</v>
      </c>
      <c r="N1443" s="1475">
        <v>1.4936961381903775</v>
      </c>
      <c r="O1443" s="1475"/>
    </row>
    <row r="1444" spans="11:15">
      <c r="K1444" s="1472">
        <v>43501</v>
      </c>
      <c r="L1444" s="1473" t="s">
        <v>2127</v>
      </c>
      <c r="M1444" s="1474">
        <v>2.462E-2</v>
      </c>
      <c r="N1444" s="1475">
        <v>1.4940638861796001</v>
      </c>
      <c r="O1444" s="1475"/>
    </row>
    <row r="1445" spans="11:15">
      <c r="K1445" s="1472">
        <v>43502</v>
      </c>
      <c r="L1445" s="1473" t="s">
        <v>2127</v>
      </c>
      <c r="M1445" s="1474">
        <v>2.462E-2</v>
      </c>
      <c r="N1445" s="1475">
        <v>1.4944317247083776</v>
      </c>
      <c r="O1445" s="1475"/>
    </row>
    <row r="1446" spans="11:15">
      <c r="K1446" s="1472">
        <v>43503</v>
      </c>
      <c r="L1446" s="1473" t="s">
        <v>2127</v>
      </c>
      <c r="M1446" s="1474">
        <v>2.462E-2</v>
      </c>
      <c r="N1446" s="1475">
        <v>1.4947996537990009</v>
      </c>
      <c r="O1446" s="1475"/>
    </row>
    <row r="1447" spans="11:15">
      <c r="K1447" s="1472">
        <v>43504</v>
      </c>
      <c r="L1447" s="1473" t="s">
        <v>2127</v>
      </c>
      <c r="M1447" s="1474">
        <v>2.462E-2</v>
      </c>
      <c r="N1447" s="1475">
        <v>1.4951676734737664</v>
      </c>
      <c r="O1447" s="1475"/>
    </row>
    <row r="1448" spans="11:15">
      <c r="K1448" s="1472">
        <v>43505</v>
      </c>
      <c r="L1448" s="1473"/>
      <c r="M1448" s="1474">
        <v>0</v>
      </c>
      <c r="N1448" s="1475">
        <v>1.4951676734737664</v>
      </c>
      <c r="O1448" s="1475"/>
    </row>
    <row r="1449" spans="11:15">
      <c r="K1449" s="1472">
        <v>43506</v>
      </c>
      <c r="L1449" s="1473"/>
      <c r="M1449" s="1474">
        <v>0</v>
      </c>
      <c r="N1449" s="1475">
        <v>1.4951676734737664</v>
      </c>
      <c r="O1449" s="1475"/>
    </row>
    <row r="1450" spans="11:15">
      <c r="K1450" s="1472">
        <v>43507</v>
      </c>
      <c r="L1450" s="1473" t="s">
        <v>2127</v>
      </c>
      <c r="M1450" s="1474">
        <v>2.462E-2</v>
      </c>
      <c r="N1450" s="1475">
        <v>1.4955357837549759</v>
      </c>
      <c r="O1450" s="1475"/>
    </row>
    <row r="1451" spans="11:15">
      <c r="K1451" s="1472">
        <v>43508</v>
      </c>
      <c r="L1451" s="1473" t="s">
        <v>2127</v>
      </c>
      <c r="M1451" s="1474">
        <v>2.462E-2</v>
      </c>
      <c r="N1451" s="1475">
        <v>1.4959039846649365</v>
      </c>
      <c r="O1451" s="1475"/>
    </row>
    <row r="1452" spans="11:15">
      <c r="K1452" s="1472">
        <v>43509</v>
      </c>
      <c r="L1452" s="1473" t="s">
        <v>2127</v>
      </c>
      <c r="M1452" s="1474">
        <v>2.462E-2</v>
      </c>
      <c r="N1452" s="1475">
        <v>1.496272276225961</v>
      </c>
      <c r="O1452" s="1475"/>
    </row>
    <row r="1453" spans="11:15">
      <c r="K1453" s="1472">
        <v>43510</v>
      </c>
      <c r="L1453" s="1473" t="s">
        <v>2127</v>
      </c>
      <c r="M1453" s="1474">
        <v>2.462E-2</v>
      </c>
      <c r="N1453" s="1475">
        <v>1.496640658460368</v>
      </c>
      <c r="O1453" s="1475"/>
    </row>
    <row r="1454" spans="11:15">
      <c r="K1454" s="1472">
        <v>43511</v>
      </c>
      <c r="L1454" s="1473" t="s">
        <v>2127</v>
      </c>
      <c r="M1454" s="1474">
        <v>2.462E-2</v>
      </c>
      <c r="N1454" s="1475">
        <v>1.497009131390481</v>
      </c>
      <c r="O1454" s="1475"/>
    </row>
    <row r="1455" spans="11:15">
      <c r="K1455" s="1472">
        <v>43512</v>
      </c>
      <c r="L1455" s="1473"/>
      <c r="M1455" s="1474">
        <v>0</v>
      </c>
      <c r="N1455" s="1475">
        <v>1.497009131390481</v>
      </c>
      <c r="O1455" s="1475"/>
    </row>
    <row r="1456" spans="11:15">
      <c r="K1456" s="1472">
        <v>43513</v>
      </c>
      <c r="L1456" s="1473"/>
      <c r="M1456" s="1474">
        <v>0</v>
      </c>
      <c r="N1456" s="1475">
        <v>1.497009131390481</v>
      </c>
      <c r="O1456" s="1475"/>
    </row>
    <row r="1457" spans="11:15">
      <c r="K1457" s="1472">
        <v>43514</v>
      </c>
      <c r="L1457" s="1473" t="s">
        <v>2127</v>
      </c>
      <c r="M1457" s="1474">
        <v>2.462E-2</v>
      </c>
      <c r="N1457" s="1475">
        <v>1.4973776950386295</v>
      </c>
      <c r="O1457" s="1475"/>
    </row>
    <row r="1458" spans="11:15">
      <c r="K1458" s="1472">
        <v>43515</v>
      </c>
      <c r="L1458" s="1473" t="s">
        <v>2127</v>
      </c>
      <c r="M1458" s="1474">
        <v>2.462E-2</v>
      </c>
      <c r="N1458" s="1475">
        <v>1.4977463494271481</v>
      </c>
      <c r="O1458" s="1475"/>
    </row>
    <row r="1459" spans="11:15">
      <c r="K1459" s="1472">
        <v>43516</v>
      </c>
      <c r="L1459" s="1473" t="s">
        <v>2127</v>
      </c>
      <c r="M1459" s="1474">
        <v>2.462E-2</v>
      </c>
      <c r="N1459" s="1475">
        <v>1.4981150945783772</v>
      </c>
      <c r="O1459" s="1475"/>
    </row>
    <row r="1460" spans="11:15">
      <c r="K1460" s="1472">
        <v>43517</v>
      </c>
      <c r="L1460" s="1473" t="s">
        <v>2127</v>
      </c>
      <c r="M1460" s="1474">
        <v>2.462E-2</v>
      </c>
      <c r="N1460" s="1475">
        <v>1.4984839305146624</v>
      </c>
      <c r="O1460" s="1475"/>
    </row>
    <row r="1461" spans="11:15">
      <c r="K1461" s="1472">
        <v>43518</v>
      </c>
      <c r="L1461" s="1473" t="s">
        <v>2127</v>
      </c>
      <c r="M1461" s="1474">
        <v>2.462E-2</v>
      </c>
      <c r="N1461" s="1475">
        <v>1.4988528572583553</v>
      </c>
      <c r="O1461" s="1475"/>
    </row>
    <row r="1462" spans="11:15">
      <c r="K1462" s="1472">
        <v>43519</v>
      </c>
      <c r="L1462" s="1473"/>
      <c r="M1462" s="1474">
        <v>0</v>
      </c>
      <c r="N1462" s="1475">
        <v>1.4988528572583553</v>
      </c>
      <c r="O1462" s="1475"/>
    </row>
    <row r="1463" spans="11:15">
      <c r="K1463" s="1472">
        <v>43520</v>
      </c>
      <c r="L1463" s="1473"/>
      <c r="M1463" s="1474">
        <v>0</v>
      </c>
      <c r="N1463" s="1475">
        <v>1.4988528572583553</v>
      </c>
      <c r="O1463" s="1475"/>
    </row>
    <row r="1464" spans="11:15">
      <c r="K1464" s="1472">
        <v>43521</v>
      </c>
      <c r="L1464" s="1473" t="s">
        <v>2127</v>
      </c>
      <c r="M1464" s="1474">
        <v>2.462E-2</v>
      </c>
      <c r="N1464" s="1475">
        <v>1.4992218748318125</v>
      </c>
      <c r="O1464" s="1475"/>
    </row>
    <row r="1465" spans="11:15">
      <c r="K1465" s="1472">
        <v>43522</v>
      </c>
      <c r="L1465" s="1473" t="s">
        <v>2127</v>
      </c>
      <c r="M1465" s="1474">
        <v>2.462E-2</v>
      </c>
      <c r="N1465" s="1475">
        <v>1.4995909832573961</v>
      </c>
      <c r="O1465" s="1475"/>
    </row>
    <row r="1466" spans="11:15">
      <c r="K1466" s="1472">
        <v>43523</v>
      </c>
      <c r="L1466" s="1473" t="s">
        <v>2127</v>
      </c>
      <c r="M1466" s="1474">
        <v>2.462E-2</v>
      </c>
      <c r="N1466" s="1475">
        <v>1.4999601825574742</v>
      </c>
      <c r="O1466" s="1475"/>
    </row>
    <row r="1467" spans="11:15">
      <c r="K1467" s="1472">
        <v>43524</v>
      </c>
      <c r="L1467" s="1473" t="s">
        <v>2127</v>
      </c>
      <c r="M1467" s="1474">
        <v>2.462E-2</v>
      </c>
      <c r="N1467" s="1475">
        <v>1.5003294727544201</v>
      </c>
      <c r="O1467" s="1475"/>
    </row>
    <row r="1468" spans="11:15">
      <c r="K1468" s="1472">
        <v>43525</v>
      </c>
      <c r="L1468" s="1473" t="s">
        <v>2127</v>
      </c>
      <c r="M1468" s="1474">
        <v>2.462E-2</v>
      </c>
      <c r="N1468" s="1475">
        <v>1.5006988538706123</v>
      </c>
      <c r="O1468" s="1475"/>
    </row>
    <row r="1469" spans="11:15">
      <c r="K1469" s="1472">
        <v>43526</v>
      </c>
      <c r="L1469" s="1473"/>
      <c r="M1469" s="1474">
        <v>0</v>
      </c>
      <c r="N1469" s="1475">
        <v>1.5006988538706123</v>
      </c>
      <c r="O1469" s="1475"/>
    </row>
    <row r="1470" spans="11:15">
      <c r="K1470" s="1472">
        <v>43527</v>
      </c>
      <c r="L1470" s="1473"/>
      <c r="M1470" s="1474">
        <v>0</v>
      </c>
      <c r="N1470" s="1475">
        <v>1.5006988538706123</v>
      </c>
      <c r="O1470" s="1475"/>
    </row>
    <row r="1471" spans="11:15">
      <c r="K1471" s="1472">
        <v>43528</v>
      </c>
      <c r="L1471" s="1473"/>
      <c r="M1471" s="1474">
        <v>0</v>
      </c>
      <c r="N1471" s="1475">
        <v>1.5006988538706123</v>
      </c>
      <c r="O1471" s="1475"/>
    </row>
    <row r="1472" spans="11:15">
      <c r="K1472" s="1472">
        <v>43529</v>
      </c>
      <c r="L1472" s="1473"/>
      <c r="M1472" s="1474">
        <v>0</v>
      </c>
      <c r="N1472" s="1475">
        <v>1.5006988538706123</v>
      </c>
      <c r="O1472" s="1475"/>
    </row>
    <row r="1473" spans="11:15">
      <c r="K1473" s="1472">
        <v>43530</v>
      </c>
      <c r="L1473" s="1473" t="s">
        <v>2127</v>
      </c>
      <c r="M1473" s="1474">
        <v>2.462E-2</v>
      </c>
      <c r="N1473" s="1475">
        <v>1.5010683259284354</v>
      </c>
      <c r="O1473" s="1475"/>
    </row>
    <row r="1474" spans="11:15">
      <c r="K1474" s="1472">
        <v>43531</v>
      </c>
      <c r="L1474" s="1473" t="s">
        <v>2127</v>
      </c>
      <c r="M1474" s="1474">
        <v>2.462E-2</v>
      </c>
      <c r="N1474" s="1475">
        <v>1.5014378889502791</v>
      </c>
      <c r="O1474" s="1475"/>
    </row>
    <row r="1475" spans="11:15">
      <c r="K1475" s="1472">
        <v>43532</v>
      </c>
      <c r="L1475" s="1473" t="s">
        <v>2127</v>
      </c>
      <c r="M1475" s="1474">
        <v>2.462E-2</v>
      </c>
      <c r="N1475" s="1475">
        <v>1.5018075429585387</v>
      </c>
      <c r="O1475" s="1475"/>
    </row>
    <row r="1476" spans="11:15">
      <c r="K1476" s="1472">
        <v>43533</v>
      </c>
      <c r="L1476" s="1473"/>
      <c r="M1476" s="1474">
        <v>0</v>
      </c>
      <c r="N1476" s="1475">
        <v>1.5018075429585387</v>
      </c>
      <c r="O1476" s="1475"/>
    </row>
    <row r="1477" spans="11:15">
      <c r="K1477" s="1472">
        <v>43534</v>
      </c>
      <c r="L1477" s="1473"/>
      <c r="M1477" s="1474">
        <v>0</v>
      </c>
      <c r="N1477" s="1475">
        <v>1.5018075429585387</v>
      </c>
      <c r="O1477" s="1475"/>
    </row>
    <row r="1478" spans="11:15">
      <c r="K1478" s="1472">
        <v>43535</v>
      </c>
      <c r="L1478" s="1473" t="s">
        <v>2127</v>
      </c>
      <c r="M1478" s="1474">
        <v>2.462E-2</v>
      </c>
      <c r="N1478" s="1475">
        <v>1.5021772879756152</v>
      </c>
      <c r="O1478" s="1475"/>
    </row>
    <row r="1479" spans="11:15">
      <c r="K1479" s="1472">
        <v>43536</v>
      </c>
      <c r="L1479" s="1473" t="s">
        <v>2127</v>
      </c>
      <c r="M1479" s="1474">
        <v>2.462E-2</v>
      </c>
      <c r="N1479" s="1475">
        <v>1.502547124023915</v>
      </c>
      <c r="O1479" s="1475"/>
    </row>
    <row r="1480" spans="11:15">
      <c r="K1480" s="1472">
        <v>43537</v>
      </c>
      <c r="L1480" s="1473" t="s">
        <v>2127</v>
      </c>
      <c r="M1480" s="1474">
        <v>2.462E-2</v>
      </c>
      <c r="N1480" s="1475">
        <v>1.5029170511258498</v>
      </c>
      <c r="O1480" s="1475"/>
    </row>
    <row r="1481" spans="11:15">
      <c r="K1481" s="1472">
        <v>43538</v>
      </c>
      <c r="L1481" s="1473" t="s">
        <v>2127</v>
      </c>
      <c r="M1481" s="1474">
        <v>2.462E-2</v>
      </c>
      <c r="N1481" s="1475">
        <v>1.5032870693038372</v>
      </c>
      <c r="O1481" s="1475"/>
    </row>
    <row r="1482" spans="11:15">
      <c r="K1482" s="1472">
        <v>43539</v>
      </c>
      <c r="L1482" s="1473" t="s">
        <v>2127</v>
      </c>
      <c r="M1482" s="1474">
        <v>2.462E-2</v>
      </c>
      <c r="N1482" s="1475">
        <v>1.5036571785802999</v>
      </c>
      <c r="O1482" s="1475"/>
    </row>
    <row r="1483" spans="11:15">
      <c r="K1483" s="1472">
        <v>43540</v>
      </c>
      <c r="L1483" s="1473"/>
      <c r="M1483" s="1474">
        <v>0</v>
      </c>
      <c r="N1483" s="1475">
        <v>1.5036571785802999</v>
      </c>
      <c r="O1483" s="1475"/>
    </row>
    <row r="1484" spans="11:15">
      <c r="K1484" s="1472">
        <v>43541</v>
      </c>
      <c r="L1484" s="1473"/>
      <c r="M1484" s="1474">
        <v>0</v>
      </c>
      <c r="N1484" s="1475">
        <v>1.5036571785802999</v>
      </c>
      <c r="O1484" s="1475"/>
    </row>
    <row r="1485" spans="11:15">
      <c r="K1485" s="1472">
        <v>43542</v>
      </c>
      <c r="L1485" s="1473" t="s">
        <v>2127</v>
      </c>
      <c r="M1485" s="1474">
        <v>2.462E-2</v>
      </c>
      <c r="N1485" s="1475">
        <v>1.5040273789776666</v>
      </c>
      <c r="O1485" s="1475"/>
    </row>
    <row r="1486" spans="11:15">
      <c r="K1486" s="1472">
        <v>43543</v>
      </c>
      <c r="L1486" s="1473" t="s">
        <v>2127</v>
      </c>
      <c r="M1486" s="1474">
        <v>2.462E-2</v>
      </c>
      <c r="N1486" s="1475">
        <v>1.504397670518371</v>
      </c>
      <c r="O1486" s="1475"/>
    </row>
    <row r="1487" spans="11:15">
      <c r="K1487" s="1472">
        <v>43544</v>
      </c>
      <c r="L1487" s="1473" t="s">
        <v>2127</v>
      </c>
      <c r="M1487" s="1474">
        <v>2.462E-2</v>
      </c>
      <c r="N1487" s="1475">
        <v>1.5047680532248529</v>
      </c>
      <c r="O1487" s="1475"/>
    </row>
    <row r="1488" spans="11:15">
      <c r="K1488" s="1472">
        <v>43545</v>
      </c>
      <c r="L1488" s="1473" t="s">
        <v>2127</v>
      </c>
      <c r="M1488" s="1474">
        <v>2.462E-2</v>
      </c>
      <c r="N1488" s="1475">
        <v>1.505138527119557</v>
      </c>
      <c r="O1488" s="1475"/>
    </row>
    <row r="1489" spans="11:15">
      <c r="K1489" s="1472">
        <v>43546</v>
      </c>
      <c r="L1489" s="1473" t="s">
        <v>2127</v>
      </c>
      <c r="M1489" s="1474">
        <v>2.462E-2</v>
      </c>
      <c r="N1489" s="1475">
        <v>1.5055090922249339</v>
      </c>
      <c r="O1489" s="1475"/>
    </row>
    <row r="1490" spans="11:15">
      <c r="K1490" s="1472">
        <v>43547</v>
      </c>
      <c r="L1490" s="1473"/>
      <c r="M1490" s="1474">
        <v>0</v>
      </c>
      <c r="N1490" s="1475">
        <v>1.5055090922249339</v>
      </c>
      <c r="O1490" s="1475"/>
    </row>
    <row r="1491" spans="11:15">
      <c r="K1491" s="1472">
        <v>43548</v>
      </c>
      <c r="L1491" s="1473"/>
      <c r="M1491" s="1474">
        <v>0</v>
      </c>
      <c r="N1491" s="1475">
        <v>1.5055090922249339</v>
      </c>
      <c r="O1491" s="1475"/>
    </row>
    <row r="1492" spans="11:15">
      <c r="K1492" s="1472">
        <v>43549</v>
      </c>
      <c r="L1492" s="1473" t="s">
        <v>2127</v>
      </c>
      <c r="M1492" s="1474">
        <v>2.462E-2</v>
      </c>
      <c r="N1492" s="1475">
        <v>1.5058797485634399</v>
      </c>
      <c r="O1492" s="1475"/>
    </row>
    <row r="1493" spans="11:15">
      <c r="K1493" s="1472">
        <v>43550</v>
      </c>
      <c r="L1493" s="1473" t="s">
        <v>2127</v>
      </c>
      <c r="M1493" s="1474">
        <v>2.462E-2</v>
      </c>
      <c r="N1493" s="1475">
        <v>1.5062504961575363</v>
      </c>
      <c r="O1493" s="1475"/>
    </row>
    <row r="1494" spans="11:15">
      <c r="K1494" s="1472">
        <v>43551</v>
      </c>
      <c r="L1494" s="1473" t="s">
        <v>2127</v>
      </c>
      <c r="M1494" s="1474">
        <v>2.462E-2</v>
      </c>
      <c r="N1494" s="1475">
        <v>1.5066213350296904</v>
      </c>
      <c r="O1494" s="1475"/>
    </row>
    <row r="1495" spans="11:15">
      <c r="K1495" s="1472">
        <v>43552</v>
      </c>
      <c r="L1495" s="1473" t="s">
        <v>2127</v>
      </c>
      <c r="M1495" s="1474">
        <v>2.462E-2</v>
      </c>
      <c r="N1495" s="1475">
        <v>1.5069922652023748</v>
      </c>
      <c r="O1495" s="1475"/>
    </row>
    <row r="1496" spans="11:15">
      <c r="K1496" s="1472">
        <v>43553</v>
      </c>
      <c r="L1496" s="1473" t="s">
        <v>2127</v>
      </c>
      <c r="M1496" s="1474">
        <v>2.462E-2</v>
      </c>
      <c r="N1496" s="1475">
        <v>1.5073632866980677</v>
      </c>
      <c r="O1496" s="1475"/>
    </row>
    <row r="1497" spans="11:15">
      <c r="K1497" s="1472">
        <v>43554</v>
      </c>
      <c r="L1497" s="1473"/>
      <c r="M1497" s="1474">
        <v>0</v>
      </c>
      <c r="N1497" s="1475">
        <v>1.5073632866980677</v>
      </c>
      <c r="O1497" s="1475"/>
    </row>
    <row r="1498" spans="11:15">
      <c r="K1498" s="1472">
        <v>43555</v>
      </c>
      <c r="L1498" s="1473"/>
      <c r="M1498" s="1474">
        <v>0</v>
      </c>
      <c r="N1498" s="1475">
        <v>1.5073632866980677</v>
      </c>
      <c r="O1498" s="1475"/>
    </row>
    <row r="1499" spans="11:15">
      <c r="K1499" s="1472">
        <v>43556</v>
      </c>
      <c r="L1499" s="1473" t="s">
        <v>2127</v>
      </c>
      <c r="M1499" s="1474">
        <v>2.462E-2</v>
      </c>
      <c r="N1499" s="1475">
        <v>1.5077343995392529</v>
      </c>
      <c r="O1499" s="1475"/>
    </row>
    <row r="1500" spans="11:15">
      <c r="K1500" s="1472">
        <v>43557</v>
      </c>
      <c r="L1500" s="1473" t="s">
        <v>2127</v>
      </c>
      <c r="M1500" s="1474">
        <v>2.462E-2</v>
      </c>
      <c r="N1500" s="1475">
        <v>1.5081056037484195</v>
      </c>
      <c r="O1500" s="1475"/>
    </row>
    <row r="1501" spans="11:15">
      <c r="K1501" s="1472">
        <v>43558</v>
      </c>
      <c r="L1501" s="1473" t="s">
        <v>2127</v>
      </c>
      <c r="M1501" s="1474">
        <v>2.462E-2</v>
      </c>
      <c r="N1501" s="1475">
        <v>1.5084768993480624</v>
      </c>
      <c r="O1501" s="1475"/>
    </row>
    <row r="1502" spans="11:15">
      <c r="K1502" s="1472">
        <v>43559</v>
      </c>
      <c r="L1502" s="1473" t="s">
        <v>2127</v>
      </c>
      <c r="M1502" s="1474">
        <v>2.462E-2</v>
      </c>
      <c r="N1502" s="1475">
        <v>1.508848286360682</v>
      </c>
      <c r="O1502" s="1475"/>
    </row>
    <row r="1503" spans="11:15">
      <c r="K1503" s="1472">
        <v>43560</v>
      </c>
      <c r="L1503" s="1473" t="s">
        <v>2127</v>
      </c>
      <c r="M1503" s="1474">
        <v>2.462E-2</v>
      </c>
      <c r="N1503" s="1475">
        <v>1.5092197648087842</v>
      </c>
      <c r="O1503" s="1475"/>
    </row>
    <row r="1504" spans="11:15">
      <c r="K1504" s="1472">
        <v>43561</v>
      </c>
      <c r="L1504" s="1473"/>
      <c r="M1504" s="1474">
        <v>0</v>
      </c>
      <c r="N1504" s="1475">
        <v>1.5092197648087842</v>
      </c>
      <c r="O1504" s="1475"/>
    </row>
    <row r="1505" spans="11:15">
      <c r="K1505" s="1472">
        <v>43562</v>
      </c>
      <c r="L1505" s="1473"/>
      <c r="M1505" s="1474">
        <v>0</v>
      </c>
      <c r="N1505" s="1475">
        <v>1.5092197648087842</v>
      </c>
      <c r="O1505" s="1475"/>
    </row>
    <row r="1506" spans="11:15">
      <c r="K1506" s="1472">
        <v>43563</v>
      </c>
      <c r="L1506" s="1473" t="s">
        <v>2127</v>
      </c>
      <c r="M1506" s="1474">
        <v>2.462E-2</v>
      </c>
      <c r="N1506" s="1475">
        <v>1.5095913347148802</v>
      </c>
      <c r="O1506" s="1475"/>
    </row>
    <row r="1507" spans="11:15">
      <c r="K1507" s="1472">
        <v>43564</v>
      </c>
      <c r="L1507" s="1473" t="s">
        <v>2127</v>
      </c>
      <c r="M1507" s="1474">
        <v>2.462E-2</v>
      </c>
      <c r="N1507" s="1475">
        <v>1.5099629961014871</v>
      </c>
      <c r="O1507" s="1475"/>
    </row>
    <row r="1508" spans="11:15">
      <c r="K1508" s="1472">
        <v>43565</v>
      </c>
      <c r="L1508" s="1473" t="s">
        <v>2127</v>
      </c>
      <c r="M1508" s="1474">
        <v>2.462E-2</v>
      </c>
      <c r="N1508" s="1475">
        <v>1.5103347489911274</v>
      </c>
      <c r="O1508" s="1475"/>
    </row>
    <row r="1509" spans="11:15">
      <c r="K1509" s="1472">
        <v>43566</v>
      </c>
      <c r="L1509" s="1473" t="s">
        <v>2127</v>
      </c>
      <c r="M1509" s="1474">
        <v>2.462E-2</v>
      </c>
      <c r="N1509" s="1475">
        <v>1.5107065934063291</v>
      </c>
      <c r="O1509" s="1475"/>
    </row>
    <row r="1510" spans="11:15">
      <c r="K1510" s="1472">
        <v>43567</v>
      </c>
      <c r="L1510" s="1473" t="s">
        <v>2127</v>
      </c>
      <c r="M1510" s="1474">
        <v>2.462E-2</v>
      </c>
      <c r="N1510" s="1475">
        <v>1.5110785293696258</v>
      </c>
      <c r="O1510" s="1475"/>
    </row>
    <row r="1511" spans="11:15">
      <c r="K1511" s="1472">
        <v>43568</v>
      </c>
      <c r="L1511" s="1473"/>
      <c r="M1511" s="1474">
        <v>0</v>
      </c>
      <c r="N1511" s="1475">
        <v>1.5110785293696258</v>
      </c>
      <c r="O1511" s="1475"/>
    </row>
    <row r="1512" spans="11:15">
      <c r="K1512" s="1472">
        <v>43569</v>
      </c>
      <c r="L1512" s="1473"/>
      <c r="M1512" s="1474">
        <v>0</v>
      </c>
      <c r="N1512" s="1475">
        <v>1.5110785293696258</v>
      </c>
      <c r="O1512" s="1475"/>
    </row>
    <row r="1513" spans="11:15">
      <c r="K1513" s="1472">
        <v>43570</v>
      </c>
      <c r="L1513" s="1473" t="s">
        <v>2127</v>
      </c>
      <c r="M1513" s="1474">
        <v>2.462E-2</v>
      </c>
      <c r="N1513" s="1475">
        <v>1.5114505569035568</v>
      </c>
      <c r="O1513" s="1475"/>
    </row>
    <row r="1514" spans="11:15">
      <c r="K1514" s="1472">
        <v>43571</v>
      </c>
      <c r="L1514" s="1473" t="s">
        <v>2127</v>
      </c>
      <c r="M1514" s="1474">
        <v>2.462E-2</v>
      </c>
      <c r="N1514" s="1475">
        <v>1.5118226760306666</v>
      </c>
      <c r="O1514" s="1475"/>
    </row>
    <row r="1515" spans="11:15">
      <c r="K1515" s="1472">
        <v>43572</v>
      </c>
      <c r="L1515" s="1473" t="s">
        <v>2127</v>
      </c>
      <c r="M1515" s="1474">
        <v>2.462E-2</v>
      </c>
      <c r="N1515" s="1475">
        <v>1.5121948867735053</v>
      </c>
      <c r="O1515" s="1475"/>
    </row>
    <row r="1516" spans="11:15">
      <c r="K1516" s="1472">
        <v>43573</v>
      </c>
      <c r="L1516" s="1473" t="s">
        <v>2127</v>
      </c>
      <c r="M1516" s="1474">
        <v>2.462E-2</v>
      </c>
      <c r="N1516" s="1475">
        <v>1.5125671891546291</v>
      </c>
      <c r="O1516" s="1475"/>
    </row>
    <row r="1517" spans="11:15">
      <c r="K1517" s="1472">
        <v>43574</v>
      </c>
      <c r="L1517" s="1473"/>
      <c r="M1517" s="1474">
        <v>0</v>
      </c>
      <c r="N1517" s="1475">
        <v>1.5125671891546291</v>
      </c>
      <c r="O1517" s="1475"/>
    </row>
    <row r="1518" spans="11:15">
      <c r="K1518" s="1472">
        <v>43575</v>
      </c>
      <c r="L1518" s="1473"/>
      <c r="M1518" s="1474">
        <v>0</v>
      </c>
      <c r="N1518" s="1475">
        <v>1.5125671891546291</v>
      </c>
      <c r="O1518" s="1475"/>
    </row>
    <row r="1519" spans="11:15">
      <c r="K1519" s="1472">
        <v>43576</v>
      </c>
      <c r="L1519" s="1473"/>
      <c r="M1519" s="1474">
        <v>0</v>
      </c>
      <c r="N1519" s="1475">
        <v>1.5125671891546291</v>
      </c>
      <c r="O1519" s="1475"/>
    </row>
    <row r="1520" spans="11:15">
      <c r="K1520" s="1472">
        <v>43577</v>
      </c>
      <c r="L1520" s="1473" t="s">
        <v>2127</v>
      </c>
      <c r="M1520" s="1474">
        <v>2.462E-2</v>
      </c>
      <c r="N1520" s="1475">
        <v>1.512939583196599</v>
      </c>
      <c r="O1520" s="1475"/>
    </row>
    <row r="1521" spans="11:15">
      <c r="K1521" s="1472">
        <v>43578</v>
      </c>
      <c r="L1521" s="1473" t="s">
        <v>2127</v>
      </c>
      <c r="M1521" s="1474">
        <v>2.462E-2</v>
      </c>
      <c r="N1521" s="1475">
        <v>1.5133120689219821</v>
      </c>
      <c r="O1521" s="1475"/>
    </row>
    <row r="1522" spans="11:15">
      <c r="K1522" s="1472">
        <v>43579</v>
      </c>
      <c r="L1522" s="1473" t="s">
        <v>2127</v>
      </c>
      <c r="M1522" s="1474">
        <v>2.462E-2</v>
      </c>
      <c r="N1522" s="1475">
        <v>1.5136846463533509</v>
      </c>
      <c r="O1522" s="1475"/>
    </row>
    <row r="1523" spans="11:15">
      <c r="K1523" s="1472">
        <v>43580</v>
      </c>
      <c r="L1523" s="1473" t="s">
        <v>2127</v>
      </c>
      <c r="M1523" s="1474">
        <v>2.462E-2</v>
      </c>
      <c r="N1523" s="1475">
        <v>1.5140573155132833</v>
      </c>
      <c r="O1523" s="1475"/>
    </row>
    <row r="1524" spans="11:15">
      <c r="K1524" s="1472">
        <v>43581</v>
      </c>
      <c r="L1524" s="1473" t="s">
        <v>2127</v>
      </c>
      <c r="M1524" s="1474">
        <v>2.462E-2</v>
      </c>
      <c r="N1524" s="1475">
        <v>1.5144300764243628</v>
      </c>
      <c r="O1524" s="1475"/>
    </row>
    <row r="1525" spans="11:15">
      <c r="K1525" s="1472">
        <v>43582</v>
      </c>
      <c r="L1525" s="1473"/>
      <c r="M1525" s="1474">
        <v>0</v>
      </c>
      <c r="N1525" s="1475">
        <v>1.5144300764243628</v>
      </c>
      <c r="O1525" s="1475"/>
    </row>
    <row r="1526" spans="11:15">
      <c r="K1526" s="1472">
        <v>43583</v>
      </c>
      <c r="L1526" s="1473"/>
      <c r="M1526" s="1474">
        <v>0</v>
      </c>
      <c r="N1526" s="1475">
        <v>1.5144300764243628</v>
      </c>
      <c r="O1526" s="1475"/>
    </row>
    <row r="1527" spans="11:15">
      <c r="K1527" s="1472">
        <v>43584</v>
      </c>
      <c r="L1527" s="1473" t="s">
        <v>2127</v>
      </c>
      <c r="M1527" s="1474">
        <v>2.462E-2</v>
      </c>
      <c r="N1527" s="1475">
        <v>1.5148029291091787</v>
      </c>
      <c r="O1527" s="1475"/>
    </row>
    <row r="1528" spans="11:15">
      <c r="K1528" s="1472">
        <v>43585</v>
      </c>
      <c r="L1528" s="1473" t="s">
        <v>2127</v>
      </c>
      <c r="M1528" s="1474">
        <v>2.462E-2</v>
      </c>
      <c r="N1528" s="1475">
        <v>1.5151758735903256</v>
      </c>
      <c r="O1528" s="1475"/>
    </row>
    <row r="1529" spans="11:15">
      <c r="K1529" s="1472">
        <v>43586</v>
      </c>
      <c r="L1529" s="1473"/>
      <c r="M1529" s="1474">
        <v>0</v>
      </c>
      <c r="N1529" s="1475">
        <v>1.5151758735903256</v>
      </c>
      <c r="O1529" s="1475"/>
    </row>
    <row r="1530" spans="11:15">
      <c r="K1530" s="1472">
        <v>43587</v>
      </c>
      <c r="L1530" s="1473" t="s">
        <v>2127</v>
      </c>
      <c r="M1530" s="1474">
        <v>2.462E-2</v>
      </c>
      <c r="N1530" s="1475">
        <v>1.5155489098904036</v>
      </c>
      <c r="O1530" s="1475"/>
    </row>
    <row r="1531" spans="11:15">
      <c r="K1531" s="1472">
        <v>43588</v>
      </c>
      <c r="L1531" s="1473" t="s">
        <v>2127</v>
      </c>
      <c r="M1531" s="1474">
        <v>2.462E-2</v>
      </c>
      <c r="N1531" s="1475">
        <v>1.5159220380320186</v>
      </c>
      <c r="O1531" s="1475"/>
    </row>
    <row r="1532" spans="11:15">
      <c r="K1532" s="1472">
        <v>43589</v>
      </c>
      <c r="L1532" s="1473"/>
      <c r="M1532" s="1474">
        <v>0</v>
      </c>
      <c r="N1532" s="1475">
        <v>1.5159220380320186</v>
      </c>
      <c r="O1532" s="1475"/>
    </row>
    <row r="1533" spans="11:15">
      <c r="K1533" s="1472">
        <v>43590</v>
      </c>
      <c r="L1533" s="1473"/>
      <c r="M1533" s="1474">
        <v>0</v>
      </c>
      <c r="N1533" s="1475">
        <v>1.5159220380320186</v>
      </c>
      <c r="O1533" s="1475"/>
    </row>
    <row r="1534" spans="11:15">
      <c r="K1534" s="1472">
        <v>43591</v>
      </c>
      <c r="L1534" s="1473" t="s">
        <v>2127</v>
      </c>
      <c r="M1534" s="1474">
        <v>2.462E-2</v>
      </c>
      <c r="N1534" s="1475">
        <v>1.5162952580377822</v>
      </c>
      <c r="O1534" s="1475"/>
    </row>
    <row r="1535" spans="11:15">
      <c r="K1535" s="1472">
        <v>43592</v>
      </c>
      <c r="L1535" s="1473" t="s">
        <v>2127</v>
      </c>
      <c r="M1535" s="1474">
        <v>2.462E-2</v>
      </c>
      <c r="N1535" s="1475">
        <v>1.5166685699303113</v>
      </c>
      <c r="O1535" s="1475"/>
    </row>
    <row r="1536" spans="11:15">
      <c r="K1536" s="1472">
        <v>43593</v>
      </c>
      <c r="L1536" s="1473" t="s">
        <v>2127</v>
      </c>
      <c r="M1536" s="1474">
        <v>2.462E-2</v>
      </c>
      <c r="N1536" s="1475">
        <v>1.5170419737322283</v>
      </c>
      <c r="O1536" s="1475"/>
    </row>
    <row r="1537" spans="11:15">
      <c r="K1537" s="1472">
        <v>43594</v>
      </c>
      <c r="L1537" s="1473" t="s">
        <v>2127</v>
      </c>
      <c r="M1537" s="1474">
        <v>2.462E-2</v>
      </c>
      <c r="N1537" s="1475">
        <v>1.5174154694661612</v>
      </c>
      <c r="O1537" s="1475"/>
    </row>
    <row r="1538" spans="11:15">
      <c r="K1538" s="1472">
        <v>43595</v>
      </c>
      <c r="L1538" s="1473" t="s">
        <v>2127</v>
      </c>
      <c r="M1538" s="1474">
        <v>2.462E-2</v>
      </c>
      <c r="N1538" s="1475">
        <v>1.5177890571547439</v>
      </c>
      <c r="O1538" s="1475"/>
    </row>
    <row r="1539" spans="11:15">
      <c r="K1539" s="1472">
        <v>43596</v>
      </c>
      <c r="L1539" s="1473"/>
      <c r="M1539" s="1474">
        <v>0</v>
      </c>
      <c r="N1539" s="1475">
        <v>1.5177890571547439</v>
      </c>
      <c r="O1539" s="1475"/>
    </row>
    <row r="1540" spans="11:15">
      <c r="K1540" s="1472">
        <v>43597</v>
      </c>
      <c r="L1540" s="1473"/>
      <c r="M1540" s="1474">
        <v>0</v>
      </c>
      <c r="N1540" s="1475">
        <v>1.5177890571547439</v>
      </c>
      <c r="O1540" s="1475"/>
    </row>
    <row r="1541" spans="11:15">
      <c r="K1541" s="1472">
        <v>43598</v>
      </c>
      <c r="L1541" s="1473" t="s">
        <v>2127</v>
      </c>
      <c r="M1541" s="1474">
        <v>2.462E-2</v>
      </c>
      <c r="N1541" s="1475">
        <v>1.5181627368206154</v>
      </c>
      <c r="O1541" s="1475"/>
    </row>
    <row r="1542" spans="11:15">
      <c r="K1542" s="1472">
        <v>43599</v>
      </c>
      <c r="L1542" s="1473" t="s">
        <v>2127</v>
      </c>
      <c r="M1542" s="1474">
        <v>2.462E-2</v>
      </c>
      <c r="N1542" s="1475">
        <v>1.5185365084864209</v>
      </c>
      <c r="O1542" s="1475"/>
    </row>
    <row r="1543" spans="11:15">
      <c r="K1543" s="1472">
        <v>43600</v>
      </c>
      <c r="L1543" s="1473" t="s">
        <v>2127</v>
      </c>
      <c r="M1543" s="1474">
        <v>2.462E-2</v>
      </c>
      <c r="N1543" s="1475">
        <v>1.5189103721748103</v>
      </c>
      <c r="O1543" s="1475"/>
    </row>
    <row r="1544" spans="11:15">
      <c r="K1544" s="1472">
        <v>43601</v>
      </c>
      <c r="L1544" s="1473" t="s">
        <v>2127</v>
      </c>
      <c r="M1544" s="1474">
        <v>2.462E-2</v>
      </c>
      <c r="N1544" s="1475">
        <v>1.5192843279084398</v>
      </c>
      <c r="O1544" s="1475"/>
    </row>
    <row r="1545" spans="11:15">
      <c r="K1545" s="1472">
        <v>43602</v>
      </c>
      <c r="L1545" s="1473" t="s">
        <v>2127</v>
      </c>
      <c r="M1545" s="1474">
        <v>2.462E-2</v>
      </c>
      <c r="N1545" s="1475">
        <v>1.5196583757099711</v>
      </c>
      <c r="O1545" s="1475"/>
    </row>
    <row r="1546" spans="11:15">
      <c r="K1546" s="1472">
        <v>43603</v>
      </c>
      <c r="L1546" s="1473"/>
      <c r="M1546" s="1474">
        <v>0</v>
      </c>
      <c r="N1546" s="1475">
        <v>1.5196583757099711</v>
      </c>
      <c r="O1546" s="1475"/>
    </row>
    <row r="1547" spans="11:15">
      <c r="K1547" s="1472">
        <v>43604</v>
      </c>
      <c r="L1547" s="1473"/>
      <c r="M1547" s="1474">
        <v>0</v>
      </c>
      <c r="N1547" s="1475">
        <v>1.5196583757099711</v>
      </c>
      <c r="O1547" s="1475"/>
    </row>
    <row r="1548" spans="11:15">
      <c r="K1548" s="1472">
        <v>43605</v>
      </c>
      <c r="L1548" s="1473" t="s">
        <v>2127</v>
      </c>
      <c r="M1548" s="1474">
        <v>2.462E-2</v>
      </c>
      <c r="N1548" s="1475">
        <v>1.5200325156020711</v>
      </c>
      <c r="O1548" s="1475"/>
    </row>
    <row r="1549" spans="11:15">
      <c r="K1549" s="1472">
        <v>43606</v>
      </c>
      <c r="L1549" s="1473" t="s">
        <v>2127</v>
      </c>
      <c r="M1549" s="1474">
        <v>2.462E-2</v>
      </c>
      <c r="N1549" s="1475">
        <v>1.5204067476074123</v>
      </c>
      <c r="O1549" s="1475"/>
    </row>
    <row r="1550" spans="11:15">
      <c r="K1550" s="1472">
        <v>43607</v>
      </c>
      <c r="L1550" s="1473" t="s">
        <v>2127</v>
      </c>
      <c r="M1550" s="1474">
        <v>2.462E-2</v>
      </c>
      <c r="N1550" s="1475">
        <v>1.5207810717486734</v>
      </c>
      <c r="O1550" s="1475"/>
    </row>
    <row r="1551" spans="11:15">
      <c r="K1551" s="1472">
        <v>43608</v>
      </c>
      <c r="L1551" s="1473" t="s">
        <v>2127</v>
      </c>
      <c r="M1551" s="1474">
        <v>2.462E-2</v>
      </c>
      <c r="N1551" s="1475">
        <v>1.5211554880485381</v>
      </c>
      <c r="O1551" s="1475"/>
    </row>
    <row r="1552" spans="11:15">
      <c r="K1552" s="1472">
        <v>43609</v>
      </c>
      <c r="L1552" s="1473" t="s">
        <v>2127</v>
      </c>
      <c r="M1552" s="1474">
        <v>2.462E-2</v>
      </c>
      <c r="N1552" s="1475">
        <v>1.5215299965296958</v>
      </c>
      <c r="O1552" s="1475"/>
    </row>
    <row r="1553" spans="11:15">
      <c r="K1553" s="1472">
        <v>43610</v>
      </c>
      <c r="L1553" s="1473"/>
      <c r="M1553" s="1474">
        <v>0</v>
      </c>
      <c r="N1553" s="1475">
        <v>1.5215299965296958</v>
      </c>
      <c r="O1553" s="1475"/>
    </row>
    <row r="1554" spans="11:15">
      <c r="K1554" s="1472">
        <v>43611</v>
      </c>
      <c r="L1554" s="1473"/>
      <c r="M1554" s="1474">
        <v>0</v>
      </c>
      <c r="N1554" s="1475">
        <v>1.5215299965296958</v>
      </c>
      <c r="O1554" s="1475"/>
    </row>
    <row r="1555" spans="11:15">
      <c r="K1555" s="1472">
        <v>43612</v>
      </c>
      <c r="L1555" s="1473" t="s">
        <v>2127</v>
      </c>
      <c r="M1555" s="1474">
        <v>2.462E-2</v>
      </c>
      <c r="N1555" s="1475">
        <v>1.5219045972148415</v>
      </c>
      <c r="O1555" s="1475"/>
    </row>
    <row r="1556" spans="11:15">
      <c r="K1556" s="1472">
        <v>43613</v>
      </c>
      <c r="L1556" s="1473" t="s">
        <v>2127</v>
      </c>
      <c r="M1556" s="1474">
        <v>2.462E-2</v>
      </c>
      <c r="N1556" s="1475">
        <v>1.522279290126676</v>
      </c>
      <c r="O1556" s="1475"/>
    </row>
    <row r="1557" spans="11:15">
      <c r="K1557" s="1472">
        <v>43614</v>
      </c>
      <c r="L1557" s="1473" t="s">
        <v>2127</v>
      </c>
      <c r="M1557" s="1474">
        <v>2.462E-2</v>
      </c>
      <c r="N1557" s="1475">
        <v>1.5226540752879052</v>
      </c>
      <c r="O1557" s="1475"/>
    </row>
    <row r="1558" spans="11:15">
      <c r="K1558" s="1472">
        <v>43615</v>
      </c>
      <c r="L1558" s="1473" t="s">
        <v>2127</v>
      </c>
      <c r="M1558" s="1474">
        <v>2.462E-2</v>
      </c>
      <c r="N1558" s="1475">
        <v>1.5230289527212413</v>
      </c>
      <c r="O1558" s="1475"/>
    </row>
    <row r="1559" spans="11:15">
      <c r="K1559" s="1472">
        <v>43616</v>
      </c>
      <c r="L1559" s="1473" t="s">
        <v>2127</v>
      </c>
      <c r="M1559" s="1474">
        <v>2.462E-2</v>
      </c>
      <c r="N1559" s="1475">
        <v>1.5234039224494014</v>
      </c>
      <c r="O1559" s="1475"/>
    </row>
    <row r="1560" spans="11:15">
      <c r="K1560" s="1472">
        <v>43617</v>
      </c>
      <c r="L1560" s="1473"/>
      <c r="M1560" s="1474">
        <v>0</v>
      </c>
      <c r="N1560" s="1475">
        <v>1.5234039224494014</v>
      </c>
      <c r="O1560" s="1475"/>
    </row>
    <row r="1561" spans="11:15">
      <c r="K1561" s="1472">
        <v>43618</v>
      </c>
      <c r="L1561" s="1473"/>
      <c r="M1561" s="1474">
        <v>0</v>
      </c>
      <c r="N1561" s="1475">
        <v>1.5234039224494014</v>
      </c>
      <c r="O1561" s="1475"/>
    </row>
    <row r="1562" spans="11:15">
      <c r="K1562" s="1472">
        <v>43619</v>
      </c>
      <c r="L1562" s="1473" t="s">
        <v>2127</v>
      </c>
      <c r="M1562" s="1474">
        <v>2.462E-2</v>
      </c>
      <c r="N1562" s="1475">
        <v>1.5237789844951086</v>
      </c>
      <c r="O1562" s="1475"/>
    </row>
    <row r="1563" spans="11:15">
      <c r="K1563" s="1472">
        <v>43620</v>
      </c>
      <c r="L1563" s="1473" t="s">
        <v>2127</v>
      </c>
      <c r="M1563" s="1474">
        <v>2.462E-2</v>
      </c>
      <c r="N1563" s="1475">
        <v>1.5241541388810915</v>
      </c>
      <c r="O1563" s="1475"/>
    </row>
    <row r="1564" spans="11:15">
      <c r="K1564" s="1472">
        <v>43621</v>
      </c>
      <c r="L1564" s="1473" t="s">
        <v>2127</v>
      </c>
      <c r="M1564" s="1474">
        <v>2.462E-2</v>
      </c>
      <c r="N1564" s="1475">
        <v>1.5245293856300841</v>
      </c>
      <c r="O1564" s="1475"/>
    </row>
    <row r="1565" spans="11:15">
      <c r="K1565" s="1472">
        <v>43622</v>
      </c>
      <c r="L1565" s="1473" t="s">
        <v>2127</v>
      </c>
      <c r="M1565" s="1474">
        <v>2.462E-2</v>
      </c>
      <c r="N1565" s="1475">
        <v>1.5249047247648264</v>
      </c>
      <c r="O1565" s="1475"/>
    </row>
    <row r="1566" spans="11:15">
      <c r="K1566" s="1472">
        <v>43623</v>
      </c>
      <c r="L1566" s="1473" t="s">
        <v>2127</v>
      </c>
      <c r="M1566" s="1474">
        <v>2.462E-2</v>
      </c>
      <c r="N1566" s="1475">
        <v>1.5252801563080636</v>
      </c>
      <c r="O1566" s="1475"/>
    </row>
    <row r="1567" spans="11:15">
      <c r="K1567" s="1472">
        <v>43624</v>
      </c>
      <c r="L1567" s="1473"/>
      <c r="M1567" s="1474">
        <v>0</v>
      </c>
      <c r="N1567" s="1475">
        <v>1.5252801563080636</v>
      </c>
      <c r="O1567" s="1475"/>
    </row>
    <row r="1568" spans="11:15">
      <c r="K1568" s="1472">
        <v>43625</v>
      </c>
      <c r="L1568" s="1473"/>
      <c r="M1568" s="1474">
        <v>0</v>
      </c>
      <c r="N1568" s="1475">
        <v>1.5252801563080636</v>
      </c>
      <c r="O1568" s="1475"/>
    </row>
    <row r="1569" spans="11:15">
      <c r="K1569" s="1472">
        <v>43626</v>
      </c>
      <c r="L1569" s="1473" t="s">
        <v>2127</v>
      </c>
      <c r="M1569" s="1474">
        <v>2.462E-2</v>
      </c>
      <c r="N1569" s="1475">
        <v>1.5256556802825467</v>
      </c>
      <c r="O1569" s="1475"/>
    </row>
    <row r="1570" spans="11:15">
      <c r="K1570" s="1472">
        <v>43627</v>
      </c>
      <c r="L1570" s="1473" t="s">
        <v>2127</v>
      </c>
      <c r="M1570" s="1474">
        <v>2.462E-2</v>
      </c>
      <c r="N1570" s="1475">
        <v>1.5260312967110323</v>
      </c>
      <c r="O1570" s="1475"/>
    </row>
    <row r="1571" spans="11:15">
      <c r="K1571" s="1472">
        <v>43628</v>
      </c>
      <c r="L1571" s="1473" t="s">
        <v>2127</v>
      </c>
      <c r="M1571" s="1474">
        <v>2.462E-2</v>
      </c>
      <c r="N1571" s="1475">
        <v>1.5264070056162826</v>
      </c>
      <c r="O1571" s="1475"/>
    </row>
    <row r="1572" spans="11:15">
      <c r="K1572" s="1472">
        <v>43629</v>
      </c>
      <c r="L1572" s="1473" t="s">
        <v>2127</v>
      </c>
      <c r="M1572" s="1474">
        <v>2.462E-2</v>
      </c>
      <c r="N1572" s="1475">
        <v>1.5267828070210654</v>
      </c>
      <c r="O1572" s="1475"/>
    </row>
    <row r="1573" spans="11:15">
      <c r="K1573" s="1472">
        <v>43630</v>
      </c>
      <c r="L1573" s="1473" t="s">
        <v>2127</v>
      </c>
      <c r="M1573" s="1474">
        <v>2.462E-2</v>
      </c>
      <c r="N1573" s="1475">
        <v>1.5271587009481542</v>
      </c>
      <c r="O1573" s="1475"/>
    </row>
    <row r="1574" spans="11:15">
      <c r="K1574" s="1472">
        <v>43631</v>
      </c>
      <c r="L1574" s="1473"/>
      <c r="M1574" s="1474">
        <v>0</v>
      </c>
      <c r="N1574" s="1475">
        <v>1.5271587009481542</v>
      </c>
      <c r="O1574" s="1475"/>
    </row>
    <row r="1575" spans="11:15">
      <c r="K1575" s="1472">
        <v>43632</v>
      </c>
      <c r="L1575" s="1473"/>
      <c r="M1575" s="1474">
        <v>0</v>
      </c>
      <c r="N1575" s="1475">
        <v>1.5271587009481542</v>
      </c>
      <c r="O1575" s="1475"/>
    </row>
    <row r="1576" spans="11:15">
      <c r="K1576" s="1472">
        <v>43633</v>
      </c>
      <c r="L1576" s="1473" t="s">
        <v>2127</v>
      </c>
      <c r="M1576" s="1474">
        <v>2.462E-2</v>
      </c>
      <c r="N1576" s="1475">
        <v>1.5275346874203277</v>
      </c>
      <c r="O1576" s="1475"/>
    </row>
    <row r="1577" spans="11:15">
      <c r="K1577" s="1472">
        <v>43634</v>
      </c>
      <c r="L1577" s="1473" t="s">
        <v>2127</v>
      </c>
      <c r="M1577" s="1474">
        <v>2.462E-2</v>
      </c>
      <c r="N1577" s="1475">
        <v>1.5279107664603708</v>
      </c>
      <c r="O1577" s="1475"/>
    </row>
    <row r="1578" spans="11:15">
      <c r="K1578" s="1472">
        <v>43635</v>
      </c>
      <c r="L1578" s="1473" t="s">
        <v>2127</v>
      </c>
      <c r="M1578" s="1474">
        <v>2.462E-2</v>
      </c>
      <c r="N1578" s="1475">
        <v>1.5282869380910735</v>
      </c>
      <c r="O1578" s="1475"/>
    </row>
    <row r="1579" spans="11:15">
      <c r="K1579" s="1472">
        <v>43636</v>
      </c>
      <c r="L1579" s="1473"/>
      <c r="M1579" s="1474">
        <v>0</v>
      </c>
      <c r="N1579" s="1475">
        <v>1.5282869380910735</v>
      </c>
      <c r="O1579" s="1475"/>
    </row>
    <row r="1580" spans="11:15">
      <c r="K1580" s="1472">
        <v>43637</v>
      </c>
      <c r="L1580" s="1473" t="s">
        <v>2127</v>
      </c>
      <c r="M1580" s="1474">
        <v>2.462E-2</v>
      </c>
      <c r="N1580" s="1475">
        <v>1.5286632023352316</v>
      </c>
      <c r="O1580" s="1475"/>
    </row>
    <row r="1581" spans="11:15">
      <c r="K1581" s="1472">
        <v>43638</v>
      </c>
      <c r="L1581" s="1473"/>
      <c r="M1581" s="1474">
        <v>0</v>
      </c>
      <c r="N1581" s="1475">
        <v>1.5286632023352316</v>
      </c>
      <c r="O1581" s="1475"/>
    </row>
    <row r="1582" spans="11:15">
      <c r="K1582" s="1472">
        <v>43639</v>
      </c>
      <c r="L1582" s="1473"/>
      <c r="M1582" s="1474">
        <v>0</v>
      </c>
      <c r="N1582" s="1475">
        <v>1.5286632023352316</v>
      </c>
      <c r="O1582" s="1475"/>
    </row>
    <row r="1583" spans="11:15">
      <c r="K1583" s="1472">
        <v>43640</v>
      </c>
      <c r="L1583" s="1473" t="s">
        <v>2127</v>
      </c>
      <c r="M1583" s="1474">
        <v>2.462E-2</v>
      </c>
      <c r="N1583" s="1475">
        <v>1.5290395592156467</v>
      </c>
      <c r="O1583" s="1475"/>
    </row>
    <row r="1584" spans="11:15">
      <c r="K1584" s="1472">
        <v>43641</v>
      </c>
      <c r="L1584" s="1473" t="s">
        <v>2127</v>
      </c>
      <c r="M1584" s="1474">
        <v>2.462E-2</v>
      </c>
      <c r="N1584" s="1475">
        <v>1.5294160087551258</v>
      </c>
      <c r="O1584" s="1475"/>
    </row>
    <row r="1585" spans="11:15">
      <c r="K1585" s="1472">
        <v>43642</v>
      </c>
      <c r="L1585" s="1473" t="s">
        <v>2127</v>
      </c>
      <c r="M1585" s="1474">
        <v>2.462E-2</v>
      </c>
      <c r="N1585" s="1475">
        <v>1.5297925509764816</v>
      </c>
      <c r="O1585" s="1475"/>
    </row>
    <row r="1586" spans="11:15">
      <c r="K1586" s="1472">
        <v>43643</v>
      </c>
      <c r="L1586" s="1473" t="s">
        <v>2127</v>
      </c>
      <c r="M1586" s="1474">
        <v>2.462E-2</v>
      </c>
      <c r="N1586" s="1475">
        <v>1.5301691859025321</v>
      </c>
      <c r="O1586" s="1475"/>
    </row>
    <row r="1587" spans="11:15">
      <c r="K1587" s="1472">
        <v>43644</v>
      </c>
      <c r="L1587" s="1473" t="s">
        <v>2127</v>
      </c>
      <c r="M1587" s="1474">
        <v>2.462E-2</v>
      </c>
      <c r="N1587" s="1475">
        <v>1.5305459135561015</v>
      </c>
      <c r="O1587" s="1475"/>
    </row>
    <row r="1588" spans="11:15">
      <c r="K1588" s="1472">
        <v>43645</v>
      </c>
      <c r="L1588" s="1473"/>
      <c r="M1588" s="1474">
        <v>0</v>
      </c>
      <c r="N1588" s="1475">
        <v>1.5305459135561015</v>
      </c>
      <c r="O1588" s="1475"/>
    </row>
    <row r="1589" spans="11:15">
      <c r="K1589" s="1472">
        <v>43646</v>
      </c>
      <c r="L1589" s="1473"/>
      <c r="M1589" s="1474">
        <v>0</v>
      </c>
      <c r="N1589" s="1475">
        <v>1.5305459135561015</v>
      </c>
      <c r="O1589" s="1475"/>
    </row>
    <row r="1590" spans="11:15">
      <c r="K1590" s="1472">
        <v>43647</v>
      </c>
      <c r="L1590" s="1473" t="s">
        <v>2127</v>
      </c>
      <c r="M1590" s="1474">
        <v>2.462E-2</v>
      </c>
      <c r="N1590" s="1475">
        <v>1.5309227339600191</v>
      </c>
      <c r="O1590" s="1475"/>
    </row>
    <row r="1591" spans="11:15">
      <c r="K1591" s="1472">
        <v>43648</v>
      </c>
      <c r="L1591" s="1473" t="s">
        <v>2127</v>
      </c>
      <c r="M1591" s="1474">
        <v>2.462E-2</v>
      </c>
      <c r="N1591" s="1475">
        <v>1.5312996471371201</v>
      </c>
      <c r="O1591" s="1475"/>
    </row>
    <row r="1592" spans="11:15">
      <c r="K1592" s="1472">
        <v>43649</v>
      </c>
      <c r="L1592" s="1473" t="s">
        <v>2127</v>
      </c>
      <c r="M1592" s="1474">
        <v>2.462E-2</v>
      </c>
      <c r="N1592" s="1475">
        <v>1.5316766531102455</v>
      </c>
      <c r="O1592" s="1475"/>
    </row>
    <row r="1593" spans="11:15">
      <c r="K1593" s="1472">
        <v>43650</v>
      </c>
      <c r="L1593" s="1473" t="s">
        <v>2127</v>
      </c>
      <c r="M1593" s="1474">
        <v>2.462E-2</v>
      </c>
      <c r="N1593" s="1475">
        <v>1.5320537519022412</v>
      </c>
      <c r="O1593" s="1475"/>
    </row>
    <row r="1594" spans="11:15">
      <c r="K1594" s="1472">
        <v>43651</v>
      </c>
      <c r="L1594" s="1473" t="s">
        <v>2127</v>
      </c>
      <c r="M1594" s="1474">
        <v>2.462E-2</v>
      </c>
      <c r="N1594" s="1475">
        <v>1.5324309435359598</v>
      </c>
      <c r="O1594" s="1475"/>
    </row>
    <row r="1595" spans="11:15">
      <c r="K1595" s="1472">
        <v>43652</v>
      </c>
      <c r="L1595" s="1473"/>
      <c r="M1595" s="1474">
        <v>0</v>
      </c>
      <c r="N1595" s="1475">
        <v>1.5324309435359598</v>
      </c>
      <c r="O1595" s="1475"/>
    </row>
    <row r="1596" spans="11:15">
      <c r="K1596" s="1472">
        <v>43653</v>
      </c>
      <c r="L1596" s="1473"/>
      <c r="M1596" s="1474">
        <v>0</v>
      </c>
      <c r="N1596" s="1475">
        <v>1.5324309435359598</v>
      </c>
      <c r="O1596" s="1475"/>
    </row>
    <row r="1597" spans="11:15">
      <c r="K1597" s="1472">
        <v>43654</v>
      </c>
      <c r="L1597" s="1473" t="s">
        <v>2127</v>
      </c>
      <c r="M1597" s="1474">
        <v>2.462E-2</v>
      </c>
      <c r="N1597" s="1475">
        <v>1.5328082280342585</v>
      </c>
      <c r="O1597" s="1475"/>
    </row>
    <row r="1598" spans="11:15">
      <c r="K1598" s="1472">
        <v>43655</v>
      </c>
      <c r="L1598" s="1473" t="s">
        <v>2127</v>
      </c>
      <c r="M1598" s="1474">
        <v>2.462E-2</v>
      </c>
      <c r="N1598" s="1475">
        <v>1.5331856054200006</v>
      </c>
      <c r="O1598" s="1475"/>
    </row>
    <row r="1599" spans="11:15">
      <c r="K1599" s="1472">
        <v>43656</v>
      </c>
      <c r="L1599" s="1473" t="s">
        <v>2127</v>
      </c>
      <c r="M1599" s="1474">
        <v>2.462E-2</v>
      </c>
      <c r="N1599" s="1475">
        <v>1.5335630757160552</v>
      </c>
      <c r="O1599" s="1475"/>
    </row>
    <row r="1600" spans="11:15">
      <c r="K1600" s="1472">
        <v>43657</v>
      </c>
      <c r="L1600" s="1473" t="s">
        <v>2127</v>
      </c>
      <c r="M1600" s="1474">
        <v>2.462E-2</v>
      </c>
      <c r="N1600" s="1475">
        <v>1.5339406389452965</v>
      </c>
      <c r="O1600" s="1475"/>
    </row>
    <row r="1601" spans="11:15">
      <c r="K1601" s="1472">
        <v>43658</v>
      </c>
      <c r="L1601" s="1473" t="s">
        <v>2127</v>
      </c>
      <c r="M1601" s="1474">
        <v>2.462E-2</v>
      </c>
      <c r="N1601" s="1475">
        <v>1.5343182951306049</v>
      </c>
      <c r="O1601" s="1475"/>
    </row>
    <row r="1602" spans="11:15">
      <c r="K1602" s="1472">
        <v>43659</v>
      </c>
      <c r="L1602" s="1473"/>
      <c r="M1602" s="1474">
        <v>0</v>
      </c>
      <c r="N1602" s="1475">
        <v>1.5343182951306049</v>
      </c>
      <c r="O1602" s="1475"/>
    </row>
    <row r="1603" spans="11:15">
      <c r="K1603" s="1472">
        <v>43660</v>
      </c>
      <c r="L1603" s="1473"/>
      <c r="M1603" s="1474">
        <v>0</v>
      </c>
      <c r="N1603" s="1475">
        <v>1.5343182951306049</v>
      </c>
      <c r="O1603" s="1475"/>
    </row>
    <row r="1604" spans="11:15">
      <c r="K1604" s="1472">
        <v>43661</v>
      </c>
      <c r="L1604" s="1473" t="s">
        <v>2127</v>
      </c>
      <c r="M1604" s="1474">
        <v>2.462E-2</v>
      </c>
      <c r="N1604" s="1475">
        <v>1.5346960442948663</v>
      </c>
      <c r="O1604" s="1475"/>
    </row>
    <row r="1605" spans="11:15">
      <c r="K1605" s="1472">
        <v>43662</v>
      </c>
      <c r="L1605" s="1473" t="s">
        <v>2127</v>
      </c>
      <c r="M1605" s="1474">
        <v>2.462E-2</v>
      </c>
      <c r="N1605" s="1475">
        <v>1.5350738864609719</v>
      </c>
      <c r="O1605" s="1475"/>
    </row>
    <row r="1606" spans="11:15">
      <c r="K1606" s="1472">
        <v>43663</v>
      </c>
      <c r="L1606" s="1473" t="s">
        <v>2127</v>
      </c>
      <c r="M1606" s="1474">
        <v>2.462E-2</v>
      </c>
      <c r="N1606" s="1475">
        <v>1.5354518216518187</v>
      </c>
      <c r="O1606" s="1475"/>
    </row>
    <row r="1607" spans="11:15">
      <c r="K1607" s="1472">
        <v>43664</v>
      </c>
      <c r="L1607" s="1473" t="s">
        <v>2127</v>
      </c>
      <c r="M1607" s="1474">
        <v>2.462E-2</v>
      </c>
      <c r="N1607" s="1475">
        <v>1.5358298498903096</v>
      </c>
      <c r="O1607" s="1475"/>
    </row>
    <row r="1608" spans="11:15">
      <c r="K1608" s="1472">
        <v>43665</v>
      </c>
      <c r="L1608" s="1473" t="s">
        <v>2127</v>
      </c>
      <c r="M1608" s="1474">
        <v>2.462E-2</v>
      </c>
      <c r="N1608" s="1475">
        <v>1.5362079711993526</v>
      </c>
      <c r="O1608" s="1475"/>
    </row>
    <row r="1609" spans="11:15">
      <c r="K1609" s="1472">
        <v>43666</v>
      </c>
      <c r="L1609" s="1473"/>
      <c r="M1609" s="1474">
        <v>0</v>
      </c>
      <c r="N1609" s="1475">
        <v>1.5362079711993526</v>
      </c>
      <c r="O1609" s="1475"/>
    </row>
    <row r="1610" spans="11:15">
      <c r="K1610" s="1472">
        <v>43667</v>
      </c>
      <c r="L1610" s="1473"/>
      <c r="M1610" s="1474">
        <v>0</v>
      </c>
      <c r="N1610" s="1475">
        <v>1.5362079711993526</v>
      </c>
      <c r="O1610" s="1475"/>
    </row>
    <row r="1611" spans="11:15">
      <c r="K1611" s="1472">
        <v>43668</v>
      </c>
      <c r="L1611" s="1473" t="s">
        <v>2127</v>
      </c>
      <c r="M1611" s="1474">
        <v>2.462E-2</v>
      </c>
      <c r="N1611" s="1475">
        <v>1.5365861856018621</v>
      </c>
      <c r="O1611" s="1475"/>
    </row>
    <row r="1612" spans="11:15">
      <c r="K1612" s="1472">
        <v>43669</v>
      </c>
      <c r="L1612" s="1473" t="s">
        <v>2127</v>
      </c>
      <c r="M1612" s="1474">
        <v>2.462E-2</v>
      </c>
      <c r="N1612" s="1475">
        <v>1.5369644931207573</v>
      </c>
      <c r="O1612" s="1475"/>
    </row>
    <row r="1613" spans="11:15">
      <c r="K1613" s="1472">
        <v>43670</v>
      </c>
      <c r="L1613" s="1473" t="s">
        <v>2127</v>
      </c>
      <c r="M1613" s="1474">
        <v>2.462E-2</v>
      </c>
      <c r="N1613" s="1475">
        <v>1.5373428937789637</v>
      </c>
      <c r="O1613" s="1475"/>
    </row>
    <row r="1614" spans="11:15">
      <c r="K1614" s="1472">
        <v>43671</v>
      </c>
      <c r="L1614" s="1473" t="s">
        <v>2127</v>
      </c>
      <c r="M1614" s="1474">
        <v>2.462E-2</v>
      </c>
      <c r="N1614" s="1475">
        <v>1.5377213875994122</v>
      </c>
      <c r="O1614" s="1475"/>
    </row>
    <row r="1615" spans="11:15">
      <c r="K1615" s="1472">
        <v>43672</v>
      </c>
      <c r="L1615" s="1473" t="s">
        <v>2127</v>
      </c>
      <c r="M1615" s="1474">
        <v>2.462E-2</v>
      </c>
      <c r="N1615" s="1475">
        <v>1.5380999746050394</v>
      </c>
      <c r="O1615" s="1475"/>
    </row>
    <row r="1616" spans="11:15">
      <c r="K1616" s="1472">
        <v>43673</v>
      </c>
      <c r="L1616" s="1473"/>
      <c r="M1616" s="1474">
        <v>0</v>
      </c>
      <c r="N1616" s="1475">
        <v>1.5380999746050394</v>
      </c>
      <c r="O1616" s="1475"/>
    </row>
    <row r="1617" spans="11:15">
      <c r="K1617" s="1472">
        <v>43674</v>
      </c>
      <c r="L1617" s="1473"/>
      <c r="M1617" s="1474">
        <v>0</v>
      </c>
      <c r="N1617" s="1475">
        <v>1.5380999746050394</v>
      </c>
      <c r="O1617" s="1475"/>
    </row>
    <row r="1618" spans="11:15">
      <c r="K1618" s="1472">
        <v>43675</v>
      </c>
      <c r="L1618" s="1473" t="s">
        <v>2127</v>
      </c>
      <c r="M1618" s="1474">
        <v>2.462E-2</v>
      </c>
      <c r="N1618" s="1475">
        <v>1.5384786548187874</v>
      </c>
      <c r="O1618" s="1475"/>
    </row>
    <row r="1619" spans="11:15">
      <c r="K1619" s="1472">
        <v>43676</v>
      </c>
      <c r="L1619" s="1473" t="s">
        <v>2127</v>
      </c>
      <c r="M1619" s="1474">
        <v>2.462E-2</v>
      </c>
      <c r="N1619" s="1475">
        <v>1.5388574282636041</v>
      </c>
      <c r="O1619" s="1475"/>
    </row>
    <row r="1620" spans="11:15">
      <c r="K1620" s="1472">
        <v>43677</v>
      </c>
      <c r="L1620" s="1473" t="s">
        <v>2127</v>
      </c>
      <c r="M1620" s="1474">
        <v>2.462E-2</v>
      </c>
      <c r="N1620" s="1475">
        <v>1.5392362949624427</v>
      </c>
      <c r="O1620" s="1475"/>
    </row>
    <row r="1621" spans="11:15">
      <c r="K1621" s="1472">
        <v>43678</v>
      </c>
      <c r="L1621" s="1473" t="s">
        <v>2127</v>
      </c>
      <c r="M1621" s="1474">
        <v>2.2751E-2</v>
      </c>
      <c r="N1621" s="1475">
        <v>1.5395864866119096</v>
      </c>
      <c r="O1621" s="1475"/>
    </row>
    <row r="1622" spans="11:15">
      <c r="K1622" s="1472">
        <v>43679</v>
      </c>
      <c r="L1622" s="1473" t="s">
        <v>2127</v>
      </c>
      <c r="M1622" s="1474">
        <v>2.2751E-2</v>
      </c>
      <c r="N1622" s="1475">
        <v>1.5399367579334786</v>
      </c>
      <c r="O1622" s="1475"/>
    </row>
    <row r="1623" spans="11:15">
      <c r="K1623" s="1472">
        <v>43680</v>
      </c>
      <c r="L1623" s="1473"/>
      <c r="M1623" s="1474">
        <v>0</v>
      </c>
      <c r="N1623" s="1475">
        <v>1.5399367579334786</v>
      </c>
      <c r="O1623" s="1475"/>
    </row>
    <row r="1624" spans="11:15">
      <c r="K1624" s="1472">
        <v>43681</v>
      </c>
      <c r="L1624" s="1473"/>
      <c r="M1624" s="1474">
        <v>0</v>
      </c>
      <c r="N1624" s="1475">
        <v>1.5399367579334786</v>
      </c>
      <c r="O1624" s="1475"/>
    </row>
    <row r="1625" spans="11:15">
      <c r="K1625" s="1472">
        <v>43682</v>
      </c>
      <c r="L1625" s="1473" t="s">
        <v>2127</v>
      </c>
      <c r="M1625" s="1474">
        <v>2.2751E-2</v>
      </c>
      <c r="N1625" s="1475">
        <v>1.5402871089452761</v>
      </c>
      <c r="O1625" s="1475"/>
    </row>
    <row r="1626" spans="11:15">
      <c r="K1626" s="1472">
        <v>43683</v>
      </c>
      <c r="L1626" s="1473" t="s">
        <v>2127</v>
      </c>
      <c r="M1626" s="1474">
        <v>2.2751E-2</v>
      </c>
      <c r="N1626" s="1475">
        <v>1.5406375396654322</v>
      </c>
      <c r="O1626" s="1475"/>
    </row>
    <row r="1627" spans="11:15">
      <c r="K1627" s="1472">
        <v>43684</v>
      </c>
      <c r="L1627" s="1473" t="s">
        <v>2127</v>
      </c>
      <c r="M1627" s="1474">
        <v>2.2751E-2</v>
      </c>
      <c r="N1627" s="1475">
        <v>1.5409880501120814</v>
      </c>
      <c r="O1627" s="1475"/>
    </row>
    <row r="1628" spans="11:15">
      <c r="K1628" s="1472">
        <v>43685</v>
      </c>
      <c r="L1628" s="1473" t="s">
        <v>2127</v>
      </c>
      <c r="M1628" s="1474">
        <v>2.2751E-2</v>
      </c>
      <c r="N1628" s="1475">
        <v>1.5413386403033624</v>
      </c>
      <c r="O1628" s="1475"/>
    </row>
    <row r="1629" spans="11:15">
      <c r="K1629" s="1472">
        <v>43686</v>
      </c>
      <c r="L1629" s="1473" t="s">
        <v>2127</v>
      </c>
      <c r="M1629" s="1474">
        <v>2.2751E-2</v>
      </c>
      <c r="N1629" s="1475">
        <v>1.5416893102574178</v>
      </c>
      <c r="O1629" s="1475"/>
    </row>
    <row r="1630" spans="11:15">
      <c r="K1630" s="1472">
        <v>43687</v>
      </c>
      <c r="L1630" s="1473"/>
      <c r="M1630" s="1474">
        <v>0</v>
      </c>
      <c r="N1630" s="1475">
        <v>1.5416893102574178</v>
      </c>
      <c r="O1630" s="1475"/>
    </row>
    <row r="1631" spans="11:15">
      <c r="K1631" s="1472">
        <v>43688</v>
      </c>
      <c r="L1631" s="1473"/>
      <c r="M1631" s="1474">
        <v>0</v>
      </c>
      <c r="N1631" s="1475">
        <v>1.5416893102574178</v>
      </c>
      <c r="O1631" s="1475"/>
    </row>
    <row r="1632" spans="11:15">
      <c r="K1632" s="1472">
        <v>43689</v>
      </c>
      <c r="L1632" s="1473" t="s">
        <v>2127</v>
      </c>
      <c r="M1632" s="1474">
        <v>2.2751E-2</v>
      </c>
      <c r="N1632" s="1475">
        <v>1.5420400599923945</v>
      </c>
      <c r="O1632" s="1475"/>
    </row>
    <row r="1633" spans="11:15">
      <c r="K1633" s="1472">
        <v>43690</v>
      </c>
      <c r="L1633" s="1473" t="s">
        <v>2127</v>
      </c>
      <c r="M1633" s="1474">
        <v>2.2751E-2</v>
      </c>
      <c r="N1633" s="1475">
        <v>1.5423908895264433</v>
      </c>
      <c r="O1633" s="1475"/>
    </row>
    <row r="1634" spans="11:15">
      <c r="K1634" s="1472">
        <v>43691</v>
      </c>
      <c r="L1634" s="1473" t="s">
        <v>2127</v>
      </c>
      <c r="M1634" s="1474">
        <v>2.2751E-2</v>
      </c>
      <c r="N1634" s="1475">
        <v>1.5427417988777195</v>
      </c>
      <c r="O1634" s="1475"/>
    </row>
    <row r="1635" spans="11:15">
      <c r="K1635" s="1472">
        <v>43692</v>
      </c>
      <c r="L1635" s="1473" t="s">
        <v>2127</v>
      </c>
      <c r="M1635" s="1474">
        <v>2.2751E-2</v>
      </c>
      <c r="N1635" s="1475">
        <v>1.5430927880643821</v>
      </c>
      <c r="O1635" s="1475"/>
    </row>
    <row r="1636" spans="11:15">
      <c r="K1636" s="1472">
        <v>43693</v>
      </c>
      <c r="L1636" s="1473" t="s">
        <v>2127</v>
      </c>
      <c r="M1636" s="1474">
        <v>2.2751E-2</v>
      </c>
      <c r="N1636" s="1475">
        <v>1.5434438571045945</v>
      </c>
      <c r="O1636" s="1475"/>
    </row>
    <row r="1637" spans="11:15">
      <c r="K1637" s="1472">
        <v>43694</v>
      </c>
      <c r="L1637" s="1473"/>
      <c r="M1637" s="1474">
        <v>0</v>
      </c>
      <c r="N1637" s="1475">
        <v>1.5434438571045945</v>
      </c>
      <c r="O1637" s="1475"/>
    </row>
    <row r="1638" spans="11:15">
      <c r="K1638" s="1472">
        <v>43695</v>
      </c>
      <c r="L1638" s="1473"/>
      <c r="M1638" s="1474">
        <v>0</v>
      </c>
      <c r="N1638" s="1475">
        <v>1.5434438571045945</v>
      </c>
      <c r="O1638" s="1475"/>
    </row>
    <row r="1639" spans="11:15">
      <c r="K1639" s="1472">
        <v>43696</v>
      </c>
      <c r="L1639" s="1473" t="s">
        <v>2127</v>
      </c>
      <c r="M1639" s="1474">
        <v>2.2751E-2</v>
      </c>
      <c r="N1639" s="1475">
        <v>1.5437950060165244</v>
      </c>
      <c r="O1639" s="1475"/>
    </row>
    <row r="1640" spans="11:15">
      <c r="K1640" s="1472">
        <v>43697</v>
      </c>
      <c r="L1640" s="1473" t="s">
        <v>2127</v>
      </c>
      <c r="M1640" s="1474">
        <v>2.2751E-2</v>
      </c>
      <c r="N1640" s="1475">
        <v>1.5441462348183432</v>
      </c>
      <c r="O1640" s="1475"/>
    </row>
    <row r="1641" spans="11:15">
      <c r="K1641" s="1472">
        <v>43698</v>
      </c>
      <c r="L1641" s="1473" t="s">
        <v>2127</v>
      </c>
      <c r="M1641" s="1474">
        <v>2.2751E-2</v>
      </c>
      <c r="N1641" s="1475">
        <v>1.5444975435282267</v>
      </c>
      <c r="O1641" s="1475"/>
    </row>
    <row r="1642" spans="11:15">
      <c r="K1642" s="1472">
        <v>43699</v>
      </c>
      <c r="L1642" s="1473" t="s">
        <v>2127</v>
      </c>
      <c r="M1642" s="1474">
        <v>2.2751E-2</v>
      </c>
      <c r="N1642" s="1475">
        <v>1.5448489321643548</v>
      </c>
      <c r="O1642" s="1475"/>
    </row>
    <row r="1643" spans="11:15">
      <c r="K1643" s="1472">
        <v>43700</v>
      </c>
      <c r="L1643" s="1473" t="s">
        <v>2127</v>
      </c>
      <c r="M1643" s="1474">
        <v>2.2751E-2</v>
      </c>
      <c r="N1643" s="1475">
        <v>1.5452004007449116</v>
      </c>
      <c r="O1643" s="1475"/>
    </row>
    <row r="1644" spans="11:15">
      <c r="K1644" s="1472">
        <v>43701</v>
      </c>
      <c r="L1644" s="1473"/>
      <c r="M1644" s="1474">
        <v>0</v>
      </c>
      <c r="N1644" s="1475">
        <v>1.5452004007449116</v>
      </c>
      <c r="O1644" s="1475"/>
    </row>
    <row r="1645" spans="11:15">
      <c r="K1645" s="1472">
        <v>43702</v>
      </c>
      <c r="L1645" s="1473"/>
      <c r="M1645" s="1474">
        <v>0</v>
      </c>
      <c r="N1645" s="1475">
        <v>1.5452004007449116</v>
      </c>
      <c r="O1645" s="1475"/>
    </row>
    <row r="1646" spans="11:15">
      <c r="K1646" s="1472">
        <v>43703</v>
      </c>
      <c r="L1646" s="1473" t="s">
        <v>2127</v>
      </c>
      <c r="M1646" s="1474">
        <v>2.2751E-2</v>
      </c>
      <c r="N1646" s="1475">
        <v>1.5455519492880851</v>
      </c>
      <c r="O1646" s="1475"/>
    </row>
    <row r="1647" spans="11:15">
      <c r="K1647" s="1472">
        <v>43704</v>
      </c>
      <c r="L1647" s="1473" t="s">
        <v>2127</v>
      </c>
      <c r="M1647" s="1474">
        <v>2.2751E-2</v>
      </c>
      <c r="N1647" s="1475">
        <v>1.5459035778120676</v>
      </c>
      <c r="O1647" s="1475"/>
    </row>
    <row r="1648" spans="11:15">
      <c r="K1648" s="1472">
        <v>43705</v>
      </c>
      <c r="L1648" s="1473" t="s">
        <v>2127</v>
      </c>
      <c r="M1648" s="1474">
        <v>2.2751E-2</v>
      </c>
      <c r="N1648" s="1475">
        <v>1.5462552863350556</v>
      </c>
      <c r="O1648" s="1475"/>
    </row>
    <row r="1649" spans="11:15">
      <c r="K1649" s="1472">
        <v>43706</v>
      </c>
      <c r="L1649" s="1473" t="s">
        <v>2127</v>
      </c>
      <c r="M1649" s="1474">
        <v>2.2751E-2</v>
      </c>
      <c r="N1649" s="1475">
        <v>1.5466070748752496</v>
      </c>
      <c r="O1649" s="1475"/>
    </row>
    <row r="1650" spans="11:15">
      <c r="K1650" s="1472">
        <v>43707</v>
      </c>
      <c r="L1650" s="1473" t="s">
        <v>2127</v>
      </c>
      <c r="M1650" s="1474">
        <v>2.2751E-2</v>
      </c>
      <c r="N1650" s="1475">
        <v>1.5469589434508544</v>
      </c>
      <c r="O1650" s="1475"/>
    </row>
    <row r="1651" spans="11:15">
      <c r="K1651" s="1472">
        <v>43708</v>
      </c>
      <c r="L1651" s="1473"/>
      <c r="M1651" s="1474">
        <v>0</v>
      </c>
      <c r="N1651" s="1475">
        <v>1.5469589434508544</v>
      </c>
      <c r="O1651" s="1475"/>
    </row>
    <row r="1652" spans="11:15">
      <c r="K1652" s="1472">
        <v>43709</v>
      </c>
      <c r="L1652" s="1473"/>
      <c r="M1652" s="1474">
        <v>0</v>
      </c>
      <c r="N1652" s="1475">
        <v>1.5469589434508544</v>
      </c>
      <c r="O1652" s="1475"/>
    </row>
    <row r="1653" spans="11:15">
      <c r="K1653" s="1472">
        <v>43710</v>
      </c>
      <c r="L1653" s="1473" t="s">
        <v>2127</v>
      </c>
      <c r="M1653" s="1474">
        <v>2.2751E-2</v>
      </c>
      <c r="N1653" s="1475">
        <v>1.5473108920800789</v>
      </c>
      <c r="O1653" s="1475"/>
    </row>
    <row r="1654" spans="11:15">
      <c r="K1654" s="1472">
        <v>43711</v>
      </c>
      <c r="L1654" s="1473" t="s">
        <v>2127</v>
      </c>
      <c r="M1654" s="1474">
        <v>2.2751E-2</v>
      </c>
      <c r="N1654" s="1475">
        <v>1.5476629207811361</v>
      </c>
      <c r="O1654" s="1475"/>
    </row>
    <row r="1655" spans="11:15">
      <c r="K1655" s="1472">
        <v>43712</v>
      </c>
      <c r="L1655" s="1473" t="s">
        <v>2127</v>
      </c>
      <c r="M1655" s="1474">
        <v>2.2751E-2</v>
      </c>
      <c r="N1655" s="1475">
        <v>1.548015029572243</v>
      </c>
      <c r="O1655" s="1475"/>
    </row>
    <row r="1656" spans="11:15">
      <c r="K1656" s="1472">
        <v>43713</v>
      </c>
      <c r="L1656" s="1473" t="s">
        <v>2127</v>
      </c>
      <c r="M1656" s="1474">
        <v>2.2751E-2</v>
      </c>
      <c r="N1656" s="1475">
        <v>1.5483672184716211</v>
      </c>
      <c r="O1656" s="1475"/>
    </row>
    <row r="1657" spans="11:15">
      <c r="K1657" s="1472">
        <v>43714</v>
      </c>
      <c r="L1657" s="1473" t="s">
        <v>2127</v>
      </c>
      <c r="M1657" s="1474">
        <v>2.2751E-2</v>
      </c>
      <c r="N1657" s="1475">
        <v>1.5487194874974954</v>
      </c>
      <c r="O1657" s="1475"/>
    </row>
    <row r="1658" spans="11:15">
      <c r="K1658" s="1472">
        <v>43715</v>
      </c>
      <c r="L1658" s="1473"/>
      <c r="M1658" s="1474">
        <v>0</v>
      </c>
      <c r="N1658" s="1475">
        <v>1.5487194874974954</v>
      </c>
      <c r="O1658" s="1475"/>
    </row>
    <row r="1659" spans="11:15">
      <c r="K1659" s="1472">
        <v>43716</v>
      </c>
      <c r="L1659" s="1473"/>
      <c r="M1659" s="1474">
        <v>0</v>
      </c>
      <c r="N1659" s="1475">
        <v>1.5487194874974954</v>
      </c>
      <c r="O1659" s="1475"/>
    </row>
    <row r="1660" spans="11:15">
      <c r="K1660" s="1472">
        <v>43717</v>
      </c>
      <c r="L1660" s="1473" t="s">
        <v>2127</v>
      </c>
      <c r="M1660" s="1474">
        <v>2.2751E-2</v>
      </c>
      <c r="N1660" s="1475">
        <v>1.549071836668096</v>
      </c>
      <c r="O1660" s="1475"/>
    </row>
    <row r="1661" spans="11:15">
      <c r="K1661" s="1472">
        <v>43718</v>
      </c>
      <c r="L1661" s="1473" t="s">
        <v>2127</v>
      </c>
      <c r="M1661" s="1474">
        <v>2.2751E-2</v>
      </c>
      <c r="N1661" s="1475">
        <v>1.5494242660016564</v>
      </c>
      <c r="O1661" s="1475"/>
    </row>
    <row r="1662" spans="11:15">
      <c r="K1662" s="1472">
        <v>43719</v>
      </c>
      <c r="L1662" s="1473" t="s">
        <v>2127</v>
      </c>
      <c r="M1662" s="1474">
        <v>2.2751E-2</v>
      </c>
      <c r="N1662" s="1475">
        <v>1.5497767755164145</v>
      </c>
      <c r="O1662" s="1475"/>
    </row>
    <row r="1663" spans="11:15">
      <c r="K1663" s="1472">
        <v>43720</v>
      </c>
      <c r="L1663" s="1473" t="s">
        <v>2127</v>
      </c>
      <c r="M1663" s="1474">
        <v>2.2751E-2</v>
      </c>
      <c r="N1663" s="1475">
        <v>1.5501293652306123</v>
      </c>
      <c r="O1663" s="1475"/>
    </row>
    <row r="1664" spans="11:15">
      <c r="K1664" s="1472">
        <v>43721</v>
      </c>
      <c r="L1664" s="1473" t="s">
        <v>2127</v>
      </c>
      <c r="M1664" s="1474">
        <v>2.2751E-2</v>
      </c>
      <c r="N1664" s="1475">
        <v>1.5504820351624959</v>
      </c>
      <c r="O1664" s="1475"/>
    </row>
    <row r="1665" spans="11:15">
      <c r="K1665" s="1472">
        <v>43722</v>
      </c>
      <c r="L1665" s="1473"/>
      <c r="M1665" s="1474">
        <v>0</v>
      </c>
      <c r="N1665" s="1475">
        <v>1.5504820351624959</v>
      </c>
      <c r="O1665" s="1475"/>
    </row>
    <row r="1666" spans="11:15">
      <c r="K1666" s="1472">
        <v>43723</v>
      </c>
      <c r="L1666" s="1473"/>
      <c r="M1666" s="1474">
        <v>0</v>
      </c>
      <c r="N1666" s="1475">
        <v>1.5504820351624959</v>
      </c>
      <c r="O1666" s="1475"/>
    </row>
    <row r="1667" spans="11:15">
      <c r="K1667" s="1472">
        <v>43724</v>
      </c>
      <c r="L1667" s="1473" t="s">
        <v>2127</v>
      </c>
      <c r="M1667" s="1474">
        <v>2.2751E-2</v>
      </c>
      <c r="N1667" s="1475">
        <v>1.5508347853303157</v>
      </c>
      <c r="O1667" s="1475"/>
    </row>
    <row r="1668" spans="11:15">
      <c r="K1668" s="1472">
        <v>43725</v>
      </c>
      <c r="L1668" s="1473" t="s">
        <v>2127</v>
      </c>
      <c r="M1668" s="1474">
        <v>2.2751E-2</v>
      </c>
      <c r="N1668" s="1475">
        <v>1.5511876157523261</v>
      </c>
      <c r="O1668" s="1475"/>
    </row>
    <row r="1669" spans="11:15">
      <c r="K1669" s="1472">
        <v>43726</v>
      </c>
      <c r="L1669" s="1473" t="s">
        <v>2127</v>
      </c>
      <c r="M1669" s="1474">
        <v>2.2751E-2</v>
      </c>
      <c r="N1669" s="1475">
        <v>1.5515405264467859</v>
      </c>
      <c r="O1669" s="1475"/>
    </row>
    <row r="1670" spans="11:15">
      <c r="K1670" s="1472">
        <v>43727</v>
      </c>
      <c r="L1670" s="1473" t="s">
        <v>2127</v>
      </c>
      <c r="M1670" s="1474">
        <v>2.0872000000000002E-2</v>
      </c>
      <c r="N1670" s="1475">
        <v>1.5518643639854659</v>
      </c>
      <c r="O1670" s="1475"/>
    </row>
    <row r="1671" spans="11:15">
      <c r="K1671" s="1472">
        <v>43728</v>
      </c>
      <c r="L1671" s="1473" t="s">
        <v>2127</v>
      </c>
      <c r="M1671" s="1474">
        <v>2.0872000000000002E-2</v>
      </c>
      <c r="N1671" s="1475">
        <v>1.5521882691155171</v>
      </c>
      <c r="O1671" s="1475"/>
    </row>
    <row r="1672" spans="11:15">
      <c r="K1672" s="1472">
        <v>43729</v>
      </c>
      <c r="L1672" s="1473"/>
      <c r="M1672" s="1474">
        <v>0</v>
      </c>
      <c r="N1672" s="1475">
        <v>1.5521882691155171</v>
      </c>
      <c r="O1672" s="1475"/>
    </row>
    <row r="1673" spans="11:15">
      <c r="K1673" s="1472">
        <v>43730</v>
      </c>
      <c r="L1673" s="1473"/>
      <c r="M1673" s="1474">
        <v>0</v>
      </c>
      <c r="N1673" s="1475">
        <v>1.5521882691155171</v>
      </c>
      <c r="O1673" s="1475"/>
    </row>
    <row r="1674" spans="11:15">
      <c r="K1674" s="1472">
        <v>43731</v>
      </c>
      <c r="L1674" s="1473" t="s">
        <v>2127</v>
      </c>
      <c r="M1674" s="1474">
        <v>2.0872000000000002E-2</v>
      </c>
      <c r="N1674" s="1475">
        <v>1.5525122418510471</v>
      </c>
      <c r="O1674" s="1475"/>
    </row>
    <row r="1675" spans="11:15">
      <c r="K1675" s="1472">
        <v>43732</v>
      </c>
      <c r="L1675" s="1473" t="s">
        <v>2127</v>
      </c>
      <c r="M1675" s="1474">
        <v>2.0872000000000002E-2</v>
      </c>
      <c r="N1675" s="1475">
        <v>1.5528362822061663</v>
      </c>
      <c r="O1675" s="1475"/>
    </row>
    <row r="1676" spans="11:15">
      <c r="K1676" s="1472">
        <v>43733</v>
      </c>
      <c r="L1676" s="1473" t="s">
        <v>2127</v>
      </c>
      <c r="M1676" s="1474">
        <v>2.0872000000000002E-2</v>
      </c>
      <c r="N1676" s="1475">
        <v>1.5531603901949884</v>
      </c>
      <c r="O1676" s="1475"/>
    </row>
    <row r="1677" spans="11:15">
      <c r="K1677" s="1472">
        <v>43734</v>
      </c>
      <c r="L1677" s="1473" t="s">
        <v>2127</v>
      </c>
      <c r="M1677" s="1474">
        <v>2.0872000000000002E-2</v>
      </c>
      <c r="N1677" s="1475">
        <v>1.5534845658316301</v>
      </c>
      <c r="O1677" s="1475"/>
    </row>
    <row r="1678" spans="11:15">
      <c r="K1678" s="1472">
        <v>43735</v>
      </c>
      <c r="L1678" s="1473" t="s">
        <v>2127</v>
      </c>
      <c r="M1678" s="1474">
        <v>2.0872000000000002E-2</v>
      </c>
      <c r="N1678" s="1475">
        <v>1.5538088091302105</v>
      </c>
      <c r="O1678" s="1475"/>
    </row>
    <row r="1679" spans="11:15">
      <c r="K1679" s="1472">
        <v>43736</v>
      </c>
      <c r="L1679" s="1473"/>
      <c r="M1679" s="1474">
        <v>0</v>
      </c>
      <c r="N1679" s="1475">
        <v>1.5538088091302105</v>
      </c>
      <c r="O1679" s="1475"/>
    </row>
    <row r="1680" spans="11:15">
      <c r="K1680" s="1472">
        <v>43737</v>
      </c>
      <c r="L1680" s="1473"/>
      <c r="M1680" s="1474">
        <v>0</v>
      </c>
      <c r="N1680" s="1475">
        <v>1.5538088091302105</v>
      </c>
      <c r="O1680" s="1475"/>
    </row>
    <row r="1681" spans="11:15">
      <c r="K1681" s="1472">
        <v>43738</v>
      </c>
      <c r="L1681" s="1473" t="s">
        <v>2127</v>
      </c>
      <c r="M1681" s="1474">
        <v>2.0872000000000002E-2</v>
      </c>
      <c r="N1681" s="1475">
        <v>1.5541331201048523</v>
      </c>
      <c r="O1681" s="1475"/>
    </row>
    <row r="1682" spans="11:15">
      <c r="K1682" s="1472">
        <v>43739</v>
      </c>
      <c r="L1682" s="1473" t="s">
        <v>2127</v>
      </c>
      <c r="M1682" s="1474">
        <v>2.0872000000000002E-2</v>
      </c>
      <c r="N1682" s="1475">
        <v>1.5544574987696806</v>
      </c>
      <c r="O1682" s="1475"/>
    </row>
    <row r="1683" spans="11:15">
      <c r="K1683" s="1472">
        <v>43740</v>
      </c>
      <c r="L1683" s="1473" t="s">
        <v>2127</v>
      </c>
      <c r="M1683" s="1474">
        <v>2.0872000000000002E-2</v>
      </c>
      <c r="N1683" s="1475">
        <v>1.5547819451388238</v>
      </c>
      <c r="O1683" s="1475"/>
    </row>
    <row r="1684" spans="11:15">
      <c r="K1684" s="1472">
        <v>43741</v>
      </c>
      <c r="L1684" s="1473" t="s">
        <v>2127</v>
      </c>
      <c r="M1684" s="1474">
        <v>2.0872000000000002E-2</v>
      </c>
      <c r="N1684" s="1475">
        <v>1.5551064592264132</v>
      </c>
      <c r="O1684" s="1475"/>
    </row>
    <row r="1685" spans="11:15">
      <c r="K1685" s="1472">
        <v>43742</v>
      </c>
      <c r="L1685" s="1473" t="s">
        <v>2127</v>
      </c>
      <c r="M1685" s="1474">
        <v>2.0872000000000002E-2</v>
      </c>
      <c r="N1685" s="1475">
        <v>1.555431041046583</v>
      </c>
      <c r="O1685" s="1475"/>
    </row>
    <row r="1686" spans="11:15">
      <c r="K1686" s="1472">
        <v>43743</v>
      </c>
      <c r="L1686" s="1473"/>
      <c r="M1686" s="1474">
        <v>0</v>
      </c>
      <c r="N1686" s="1475">
        <v>1.555431041046583</v>
      </c>
      <c r="O1686" s="1475"/>
    </row>
    <row r="1687" spans="11:15">
      <c r="K1687" s="1472">
        <v>43744</v>
      </c>
      <c r="L1687" s="1473"/>
      <c r="M1687" s="1474">
        <v>0</v>
      </c>
      <c r="N1687" s="1475">
        <v>1.555431041046583</v>
      </c>
      <c r="O1687" s="1475"/>
    </row>
    <row r="1688" spans="11:15">
      <c r="K1688" s="1472">
        <v>43745</v>
      </c>
      <c r="L1688" s="1473" t="s">
        <v>2127</v>
      </c>
      <c r="M1688" s="1474">
        <v>2.0872000000000002E-2</v>
      </c>
      <c r="N1688" s="1475">
        <v>1.5557556906134704</v>
      </c>
      <c r="O1688" s="1475"/>
    </row>
    <row r="1689" spans="11:15">
      <c r="K1689" s="1472">
        <v>43746</v>
      </c>
      <c r="L1689" s="1473" t="s">
        <v>2127</v>
      </c>
      <c r="M1689" s="1474">
        <v>2.0872000000000002E-2</v>
      </c>
      <c r="N1689" s="1475">
        <v>1.5560804079412154</v>
      </c>
      <c r="O1689" s="1475"/>
    </row>
    <row r="1690" spans="11:15">
      <c r="K1690" s="1472">
        <v>43747</v>
      </c>
      <c r="L1690" s="1473" t="s">
        <v>2127</v>
      </c>
      <c r="M1690" s="1474">
        <v>2.0872000000000002E-2</v>
      </c>
      <c r="N1690" s="1475">
        <v>1.5564051930439609</v>
      </c>
      <c r="O1690" s="1475"/>
    </row>
    <row r="1691" spans="11:15">
      <c r="K1691" s="1472">
        <v>43748</v>
      </c>
      <c r="L1691" s="1473" t="s">
        <v>2127</v>
      </c>
      <c r="M1691" s="1474">
        <v>2.0872000000000002E-2</v>
      </c>
      <c r="N1691" s="1475">
        <v>1.5567300459358531</v>
      </c>
      <c r="O1691" s="1475"/>
    </row>
    <row r="1692" spans="11:15">
      <c r="K1692" s="1472">
        <v>43749</v>
      </c>
      <c r="L1692" s="1473" t="s">
        <v>2127</v>
      </c>
      <c r="M1692" s="1474">
        <v>2.0872000000000002E-2</v>
      </c>
      <c r="N1692" s="1475">
        <v>1.5570549666310409</v>
      </c>
      <c r="O1692" s="1475"/>
    </row>
    <row r="1693" spans="11:15">
      <c r="K1693" s="1472">
        <v>43750</v>
      </c>
      <c r="L1693" s="1473"/>
      <c r="M1693" s="1474">
        <v>0</v>
      </c>
      <c r="N1693" s="1475">
        <v>1.5570549666310409</v>
      </c>
      <c r="O1693" s="1475"/>
    </row>
    <row r="1694" spans="11:15">
      <c r="K1694" s="1472">
        <v>43751</v>
      </c>
      <c r="L1694" s="1473"/>
      <c r="M1694" s="1474">
        <v>0</v>
      </c>
      <c r="N1694" s="1475">
        <v>1.5570549666310409</v>
      </c>
      <c r="O1694" s="1475"/>
    </row>
    <row r="1695" spans="11:15">
      <c r="K1695" s="1472">
        <v>43752</v>
      </c>
      <c r="L1695" s="1473" t="s">
        <v>2127</v>
      </c>
      <c r="M1695" s="1474">
        <v>2.0872000000000002E-2</v>
      </c>
      <c r="N1695" s="1475">
        <v>1.5573799551436762</v>
      </c>
      <c r="O1695" s="1475"/>
    </row>
    <row r="1696" spans="11:15">
      <c r="K1696" s="1472">
        <v>43753</v>
      </c>
      <c r="L1696" s="1473" t="s">
        <v>2127</v>
      </c>
      <c r="M1696" s="1474">
        <v>2.0872000000000002E-2</v>
      </c>
      <c r="N1696" s="1475">
        <v>1.5577050114879138</v>
      </c>
      <c r="O1696" s="1475"/>
    </row>
    <row r="1697" spans="11:15">
      <c r="K1697" s="1472">
        <v>43754</v>
      </c>
      <c r="L1697" s="1473" t="s">
        <v>2127</v>
      </c>
      <c r="M1697" s="1474">
        <v>2.0872000000000002E-2</v>
      </c>
      <c r="N1697" s="1475">
        <v>1.5580301356779116</v>
      </c>
      <c r="O1697" s="1475"/>
    </row>
    <row r="1698" spans="11:15">
      <c r="K1698" s="1472">
        <v>43755</v>
      </c>
      <c r="L1698" s="1473" t="s">
        <v>2127</v>
      </c>
      <c r="M1698" s="1474">
        <v>2.0872000000000002E-2</v>
      </c>
      <c r="N1698" s="1475">
        <v>1.5583553277278304</v>
      </c>
      <c r="O1698" s="1475"/>
    </row>
    <row r="1699" spans="11:15">
      <c r="K1699" s="1472">
        <v>43756</v>
      </c>
      <c r="L1699" s="1473" t="s">
        <v>2127</v>
      </c>
      <c r="M1699" s="1474">
        <v>2.0872000000000002E-2</v>
      </c>
      <c r="N1699" s="1475">
        <v>1.5586805876518337</v>
      </c>
      <c r="O1699" s="1475"/>
    </row>
    <row r="1700" spans="11:15">
      <c r="K1700" s="1472">
        <v>43757</v>
      </c>
      <c r="L1700" s="1473"/>
      <c r="M1700" s="1474">
        <v>0</v>
      </c>
      <c r="N1700" s="1475">
        <v>1.5586805876518337</v>
      </c>
      <c r="O1700" s="1475"/>
    </row>
    <row r="1701" spans="11:15">
      <c r="K1701" s="1472">
        <v>43758</v>
      </c>
      <c r="L1701" s="1473"/>
      <c r="M1701" s="1474">
        <v>0</v>
      </c>
      <c r="N1701" s="1475">
        <v>1.5586805876518337</v>
      </c>
      <c r="O1701" s="1475"/>
    </row>
    <row r="1702" spans="11:15">
      <c r="K1702" s="1472">
        <v>43759</v>
      </c>
      <c r="L1702" s="1473" t="s">
        <v>2127</v>
      </c>
      <c r="M1702" s="1474">
        <v>2.0872000000000002E-2</v>
      </c>
      <c r="N1702" s="1475">
        <v>1.5590059154640885</v>
      </c>
      <c r="O1702" s="1475"/>
    </row>
    <row r="1703" spans="11:15">
      <c r="K1703" s="1472">
        <v>43760</v>
      </c>
      <c r="L1703" s="1473" t="s">
        <v>2127</v>
      </c>
      <c r="M1703" s="1474">
        <v>2.0872000000000002E-2</v>
      </c>
      <c r="N1703" s="1475">
        <v>1.5593313111787643</v>
      </c>
      <c r="O1703" s="1475"/>
    </row>
    <row r="1704" spans="11:15">
      <c r="K1704" s="1472">
        <v>43761</v>
      </c>
      <c r="L1704" s="1473" t="s">
        <v>2127</v>
      </c>
      <c r="M1704" s="1474">
        <v>2.0872000000000002E-2</v>
      </c>
      <c r="N1704" s="1475">
        <v>1.5596567748100336</v>
      </c>
      <c r="O1704" s="1475"/>
    </row>
    <row r="1705" spans="11:15">
      <c r="K1705" s="1472">
        <v>43762</v>
      </c>
      <c r="L1705" s="1473" t="s">
        <v>2127</v>
      </c>
      <c r="M1705" s="1474">
        <v>2.0872000000000002E-2</v>
      </c>
      <c r="N1705" s="1475">
        <v>1.5599823063720721</v>
      </c>
      <c r="O1705" s="1475"/>
    </row>
    <row r="1706" spans="11:15">
      <c r="K1706" s="1472">
        <v>43763</v>
      </c>
      <c r="L1706" s="1473" t="s">
        <v>2127</v>
      </c>
      <c r="M1706" s="1474">
        <v>2.0872000000000002E-2</v>
      </c>
      <c r="N1706" s="1475">
        <v>1.5603079058790581</v>
      </c>
      <c r="O1706" s="1475"/>
    </row>
    <row r="1707" spans="11:15">
      <c r="K1707" s="1472">
        <v>43764</v>
      </c>
      <c r="L1707" s="1473"/>
      <c r="M1707" s="1474">
        <v>0</v>
      </c>
      <c r="N1707" s="1475">
        <v>1.5603079058790581</v>
      </c>
      <c r="O1707" s="1475"/>
    </row>
    <row r="1708" spans="11:15">
      <c r="K1708" s="1472">
        <v>43765</v>
      </c>
      <c r="L1708" s="1473"/>
      <c r="M1708" s="1474">
        <v>0</v>
      </c>
      <c r="N1708" s="1475">
        <v>1.5603079058790581</v>
      </c>
      <c r="O1708" s="1475"/>
    </row>
    <row r="1709" spans="11:15">
      <c r="K1709" s="1472">
        <v>43766</v>
      </c>
      <c r="L1709" s="1473" t="s">
        <v>2127</v>
      </c>
      <c r="M1709" s="1474">
        <v>2.0872000000000002E-2</v>
      </c>
      <c r="N1709" s="1475">
        <v>1.5606335733451733</v>
      </c>
      <c r="O1709" s="1475"/>
    </row>
    <row r="1710" spans="11:15">
      <c r="K1710" s="1472">
        <v>43767</v>
      </c>
      <c r="L1710" s="1473" t="s">
        <v>2127</v>
      </c>
      <c r="M1710" s="1474">
        <v>2.0872000000000002E-2</v>
      </c>
      <c r="N1710" s="1475">
        <v>1.5609593087846019</v>
      </c>
      <c r="O1710" s="1475"/>
    </row>
    <row r="1711" spans="11:15">
      <c r="K1711" s="1472">
        <v>43768</v>
      </c>
      <c r="L1711" s="1473" t="s">
        <v>2127</v>
      </c>
      <c r="M1711" s="1474">
        <v>2.0872000000000002E-2</v>
      </c>
      <c r="N1711" s="1475">
        <v>1.5612851122115314</v>
      </c>
      <c r="O1711" s="1475"/>
    </row>
    <row r="1712" spans="11:15">
      <c r="K1712" s="1472">
        <v>43769</v>
      </c>
      <c r="L1712" s="1473" t="s">
        <v>2127</v>
      </c>
      <c r="M1712" s="1474">
        <v>1.8984999999999998E-2</v>
      </c>
      <c r="N1712" s="1475">
        <v>1.5615815221900846</v>
      </c>
      <c r="O1712" s="1475"/>
    </row>
    <row r="1713" spans="11:15">
      <c r="K1713" s="1472">
        <v>43770</v>
      </c>
      <c r="L1713" s="1473" t="s">
        <v>2127</v>
      </c>
      <c r="M1713" s="1474">
        <v>1.8984999999999998E-2</v>
      </c>
      <c r="N1713" s="1475">
        <v>1.5618779884420724</v>
      </c>
      <c r="O1713" s="1475"/>
    </row>
    <row r="1714" spans="11:15">
      <c r="K1714" s="1472">
        <v>43771</v>
      </c>
      <c r="L1714" s="1473"/>
      <c r="M1714" s="1474">
        <v>0</v>
      </c>
      <c r="N1714" s="1475">
        <v>1.5618779884420724</v>
      </c>
      <c r="O1714" s="1475"/>
    </row>
    <row r="1715" spans="11:15">
      <c r="K1715" s="1472">
        <v>43772</v>
      </c>
      <c r="L1715" s="1473"/>
      <c r="M1715" s="1474">
        <v>0</v>
      </c>
      <c r="N1715" s="1475">
        <v>1.5618779884420724</v>
      </c>
      <c r="O1715" s="1475"/>
    </row>
    <row r="1716" spans="11:15">
      <c r="K1716" s="1472">
        <v>43773</v>
      </c>
      <c r="L1716" s="1473" t="s">
        <v>2127</v>
      </c>
      <c r="M1716" s="1474">
        <v>1.8984999999999998E-2</v>
      </c>
      <c r="N1716" s="1475">
        <v>1.5621745109781779</v>
      </c>
      <c r="O1716" s="1475"/>
    </row>
    <row r="1717" spans="11:15">
      <c r="K1717" s="1472">
        <v>43774</v>
      </c>
      <c r="L1717" s="1473" t="s">
        <v>2127</v>
      </c>
      <c r="M1717" s="1474">
        <v>1.8984999999999998E-2</v>
      </c>
      <c r="N1717" s="1475">
        <v>1.562471089809087</v>
      </c>
      <c r="O1717" s="1475"/>
    </row>
    <row r="1718" spans="11:15">
      <c r="K1718" s="1472">
        <v>43775</v>
      </c>
      <c r="L1718" s="1473" t="s">
        <v>2127</v>
      </c>
      <c r="M1718" s="1474">
        <v>1.8984999999999998E-2</v>
      </c>
      <c r="N1718" s="1475">
        <v>1.5627677249454872</v>
      </c>
      <c r="O1718" s="1475"/>
    </row>
    <row r="1719" spans="11:15">
      <c r="K1719" s="1472">
        <v>43776</v>
      </c>
      <c r="L1719" s="1473" t="s">
        <v>2127</v>
      </c>
      <c r="M1719" s="1474">
        <v>1.8984999999999998E-2</v>
      </c>
      <c r="N1719" s="1475">
        <v>1.563064416398068</v>
      </c>
      <c r="O1719" s="1475"/>
    </row>
    <row r="1720" spans="11:15">
      <c r="K1720" s="1472">
        <v>43777</v>
      </c>
      <c r="L1720" s="1473" t="s">
        <v>2127</v>
      </c>
      <c r="M1720" s="1474">
        <v>1.8984999999999998E-2</v>
      </c>
      <c r="N1720" s="1475">
        <v>1.5633611641775211</v>
      </c>
      <c r="O1720" s="1475"/>
    </row>
    <row r="1721" spans="11:15">
      <c r="K1721" s="1472">
        <v>43778</v>
      </c>
      <c r="L1721" s="1473"/>
      <c r="M1721" s="1474">
        <v>0</v>
      </c>
      <c r="N1721" s="1475">
        <v>1.5633611641775211</v>
      </c>
      <c r="O1721" s="1475"/>
    </row>
    <row r="1722" spans="11:15">
      <c r="K1722" s="1472">
        <v>43779</v>
      </c>
      <c r="L1722" s="1473"/>
      <c r="M1722" s="1474">
        <v>0</v>
      </c>
      <c r="N1722" s="1475">
        <v>1.5633611641775211</v>
      </c>
      <c r="O1722" s="1475"/>
    </row>
    <row r="1723" spans="11:15">
      <c r="K1723" s="1472">
        <v>43780</v>
      </c>
      <c r="L1723" s="1473" t="s">
        <v>2127</v>
      </c>
      <c r="M1723" s="1474">
        <v>1.8984999999999998E-2</v>
      </c>
      <c r="N1723" s="1475">
        <v>1.5636579682945402</v>
      </c>
      <c r="O1723" s="1475"/>
    </row>
    <row r="1724" spans="11:15">
      <c r="K1724" s="1472">
        <v>43781</v>
      </c>
      <c r="L1724" s="1473" t="s">
        <v>2127</v>
      </c>
      <c r="M1724" s="1474">
        <v>1.8984999999999998E-2</v>
      </c>
      <c r="N1724" s="1475">
        <v>1.5639548287598208</v>
      </c>
      <c r="O1724" s="1475"/>
    </row>
    <row r="1725" spans="11:15">
      <c r="K1725" s="1472">
        <v>43782</v>
      </c>
      <c r="L1725" s="1473" t="s">
        <v>2127</v>
      </c>
      <c r="M1725" s="1474">
        <v>1.8984999999999998E-2</v>
      </c>
      <c r="N1725" s="1475">
        <v>1.5642517455840608</v>
      </c>
      <c r="O1725" s="1475"/>
    </row>
    <row r="1726" spans="11:15">
      <c r="K1726" s="1472">
        <v>43783</v>
      </c>
      <c r="L1726" s="1473" t="s">
        <v>2127</v>
      </c>
      <c r="M1726" s="1474">
        <v>1.8984999999999998E-2</v>
      </c>
      <c r="N1726" s="1475">
        <v>1.5645487187779599</v>
      </c>
      <c r="O1726" s="1475"/>
    </row>
    <row r="1727" spans="11:15">
      <c r="K1727" s="1472">
        <v>43784</v>
      </c>
      <c r="L1727" s="1473"/>
      <c r="M1727" s="1474">
        <v>0</v>
      </c>
      <c r="N1727" s="1475">
        <v>1.5645487187779599</v>
      </c>
      <c r="O1727" s="1475"/>
    </row>
    <row r="1728" spans="11:15">
      <c r="K1728" s="1472">
        <v>43785</v>
      </c>
      <c r="L1728" s="1473"/>
      <c r="M1728" s="1474">
        <v>0</v>
      </c>
      <c r="N1728" s="1475">
        <v>1.5645487187779599</v>
      </c>
      <c r="O1728" s="1475"/>
    </row>
    <row r="1729" spans="11:15">
      <c r="K1729" s="1472">
        <v>43786</v>
      </c>
      <c r="L1729" s="1473"/>
      <c r="M1729" s="1474">
        <v>0</v>
      </c>
      <c r="N1729" s="1475">
        <v>1.5645487187779599</v>
      </c>
      <c r="O1729" s="1475"/>
    </row>
    <row r="1730" spans="11:15">
      <c r="K1730" s="1472">
        <v>43787</v>
      </c>
      <c r="L1730" s="1473" t="s">
        <v>2127</v>
      </c>
      <c r="M1730" s="1474">
        <v>1.8984999999999998E-2</v>
      </c>
      <c r="N1730" s="1475">
        <v>1.5648457483522198</v>
      </c>
      <c r="O1730" s="1475"/>
    </row>
    <row r="1731" spans="11:15">
      <c r="K1731" s="1472">
        <v>43788</v>
      </c>
      <c r="L1731" s="1473" t="s">
        <v>2127</v>
      </c>
      <c r="M1731" s="1474">
        <v>1.8984999999999998E-2</v>
      </c>
      <c r="N1731" s="1475">
        <v>1.5651428343175444</v>
      </c>
      <c r="O1731" s="1475"/>
    </row>
    <row r="1732" spans="11:15">
      <c r="K1732" s="1472">
        <v>43789</v>
      </c>
      <c r="L1732" s="1473" t="s">
        <v>2127</v>
      </c>
      <c r="M1732" s="1474">
        <v>1.8984999999999998E-2</v>
      </c>
      <c r="N1732" s="1475">
        <v>1.5654399766846394</v>
      </c>
      <c r="O1732" s="1475"/>
    </row>
    <row r="1733" spans="11:15">
      <c r="K1733" s="1472">
        <v>43790</v>
      </c>
      <c r="L1733" s="1473" t="s">
        <v>2127</v>
      </c>
      <c r="M1733" s="1474">
        <v>1.8984999999999998E-2</v>
      </c>
      <c r="N1733" s="1475">
        <v>1.5657371754642129</v>
      </c>
      <c r="O1733" s="1475"/>
    </row>
    <row r="1734" spans="11:15">
      <c r="K1734" s="1472">
        <v>43791</v>
      </c>
      <c r="L1734" s="1473" t="s">
        <v>2127</v>
      </c>
      <c r="M1734" s="1474">
        <v>1.8984999999999998E-2</v>
      </c>
      <c r="N1734" s="1475">
        <v>1.5660344306669747</v>
      </c>
      <c r="O1734" s="1475"/>
    </row>
    <row r="1735" spans="11:15">
      <c r="K1735" s="1472">
        <v>43792</v>
      </c>
      <c r="L1735" s="1473"/>
      <c r="M1735" s="1474">
        <v>0</v>
      </c>
      <c r="N1735" s="1475">
        <v>1.5660344306669747</v>
      </c>
      <c r="O1735" s="1475"/>
    </row>
    <row r="1736" spans="11:15">
      <c r="K1736" s="1472">
        <v>43793</v>
      </c>
      <c r="L1736" s="1473"/>
      <c r="M1736" s="1474">
        <v>0</v>
      </c>
      <c r="N1736" s="1475">
        <v>1.5660344306669747</v>
      </c>
      <c r="O1736" s="1475"/>
    </row>
    <row r="1737" spans="11:15">
      <c r="K1737" s="1472">
        <v>43794</v>
      </c>
      <c r="L1737" s="1473" t="s">
        <v>2127</v>
      </c>
      <c r="M1737" s="1474">
        <v>1.8984999999999998E-2</v>
      </c>
      <c r="N1737" s="1475">
        <v>1.5663317423036367</v>
      </c>
      <c r="O1737" s="1475"/>
    </row>
    <row r="1738" spans="11:15">
      <c r="K1738" s="1472">
        <v>43795</v>
      </c>
      <c r="L1738" s="1473" t="s">
        <v>2127</v>
      </c>
      <c r="M1738" s="1474">
        <v>1.8984999999999998E-2</v>
      </c>
      <c r="N1738" s="1475">
        <v>1.566629110384913</v>
      </c>
      <c r="O1738" s="1475"/>
    </row>
    <row r="1739" spans="11:15">
      <c r="K1739" s="1472">
        <v>43796</v>
      </c>
      <c r="L1739" s="1473" t="s">
        <v>2127</v>
      </c>
      <c r="M1739" s="1474">
        <v>1.8984999999999998E-2</v>
      </c>
      <c r="N1739" s="1475">
        <v>1.5669265349215196</v>
      </c>
      <c r="O1739" s="1475"/>
    </row>
    <row r="1740" spans="11:15">
      <c r="K1740" s="1472">
        <v>43797</v>
      </c>
      <c r="L1740" s="1473" t="s">
        <v>2127</v>
      </c>
      <c r="M1740" s="1474">
        <v>1.8984999999999998E-2</v>
      </c>
      <c r="N1740" s="1475">
        <v>1.5672240159241744</v>
      </c>
      <c r="O1740" s="1475"/>
    </row>
    <row r="1741" spans="11:15">
      <c r="K1741" s="1472">
        <v>43798</v>
      </c>
      <c r="L1741" s="1473" t="s">
        <v>2127</v>
      </c>
      <c r="M1741" s="1474">
        <v>1.8984999999999998E-2</v>
      </c>
      <c r="N1741" s="1475">
        <v>1.5675215534035976</v>
      </c>
      <c r="O1741" s="1475"/>
    </row>
    <row r="1742" spans="11:15">
      <c r="K1742" s="1472">
        <v>43799</v>
      </c>
      <c r="L1742" s="1473"/>
      <c r="M1742" s="1474">
        <v>0</v>
      </c>
      <c r="N1742" s="1475">
        <v>1.5675215534035976</v>
      </c>
      <c r="O1742" s="1475"/>
    </row>
    <row r="1743" spans="11:15">
      <c r="K1743" s="1472">
        <v>43800</v>
      </c>
      <c r="L1743" s="1473"/>
      <c r="M1743" s="1474">
        <v>0</v>
      </c>
      <c r="N1743" s="1475">
        <v>1.5675215534035976</v>
      </c>
      <c r="O1743" s="1475"/>
    </row>
    <row r="1744" spans="11:15">
      <c r="K1744" s="1472">
        <v>43801</v>
      </c>
      <c r="L1744" s="1473" t="s">
        <v>2127</v>
      </c>
      <c r="M1744" s="1474">
        <v>1.8984999999999998E-2</v>
      </c>
      <c r="N1744" s="1475">
        <v>1.5678191473705112</v>
      </c>
      <c r="O1744" s="1475"/>
    </row>
    <row r="1745" spans="11:15">
      <c r="K1745" s="1472">
        <v>43802</v>
      </c>
      <c r="L1745" s="1473" t="s">
        <v>2127</v>
      </c>
      <c r="M1745" s="1474">
        <v>1.8984999999999998E-2</v>
      </c>
      <c r="N1745" s="1475">
        <v>1.5681167978356394</v>
      </c>
      <c r="O1745" s="1475"/>
    </row>
    <row r="1746" spans="11:15">
      <c r="K1746" s="1472">
        <v>43803</v>
      </c>
      <c r="L1746" s="1473" t="s">
        <v>2127</v>
      </c>
      <c r="M1746" s="1474">
        <v>1.8984999999999998E-2</v>
      </c>
      <c r="N1746" s="1475">
        <v>1.5684145048097085</v>
      </c>
      <c r="O1746" s="1475"/>
    </row>
    <row r="1747" spans="11:15">
      <c r="K1747" s="1472">
        <v>43804</v>
      </c>
      <c r="L1747" s="1473" t="s">
        <v>2127</v>
      </c>
      <c r="M1747" s="1474">
        <v>1.8984999999999998E-2</v>
      </c>
      <c r="N1747" s="1475">
        <v>1.5687122683034465</v>
      </c>
      <c r="O1747" s="1475"/>
    </row>
    <row r="1748" spans="11:15">
      <c r="K1748" s="1472">
        <v>43805</v>
      </c>
      <c r="L1748" s="1473" t="s">
        <v>2127</v>
      </c>
      <c r="M1748" s="1474">
        <v>1.8984999999999998E-2</v>
      </c>
      <c r="N1748" s="1475">
        <v>1.5690100883275837</v>
      </c>
      <c r="O1748" s="1475"/>
    </row>
    <row r="1749" spans="11:15">
      <c r="K1749" s="1472">
        <v>43806</v>
      </c>
      <c r="L1749" s="1473"/>
      <c r="M1749" s="1474">
        <v>0</v>
      </c>
      <c r="N1749" s="1475">
        <v>1.5690100883275837</v>
      </c>
      <c r="O1749" s="1475"/>
    </row>
    <row r="1750" spans="11:15">
      <c r="K1750" s="1472">
        <v>43807</v>
      </c>
      <c r="L1750" s="1473"/>
      <c r="M1750" s="1474">
        <v>0</v>
      </c>
      <c r="N1750" s="1475">
        <v>1.5690100883275837</v>
      </c>
      <c r="O1750" s="1475"/>
    </row>
    <row r="1751" spans="11:15">
      <c r="K1751" s="1472">
        <v>43808</v>
      </c>
      <c r="L1751" s="1473" t="s">
        <v>2127</v>
      </c>
      <c r="M1751" s="1474">
        <v>1.8984999999999998E-2</v>
      </c>
      <c r="N1751" s="1475">
        <v>1.5693079648928525</v>
      </c>
      <c r="O1751" s="1475"/>
    </row>
    <row r="1752" spans="11:15">
      <c r="K1752" s="1472">
        <v>43809</v>
      </c>
      <c r="L1752" s="1473" t="s">
        <v>2127</v>
      </c>
      <c r="M1752" s="1474">
        <v>1.8984999999999998E-2</v>
      </c>
      <c r="N1752" s="1475">
        <v>1.5696058980099874</v>
      </c>
      <c r="O1752" s="1475"/>
    </row>
    <row r="1753" spans="11:15">
      <c r="K1753" s="1472">
        <v>43810</v>
      </c>
      <c r="L1753" s="1473" t="s">
        <v>2127</v>
      </c>
      <c r="M1753" s="1474">
        <v>1.8984999999999998E-2</v>
      </c>
      <c r="N1753" s="1475">
        <v>1.5699038876897244</v>
      </c>
      <c r="O1753" s="1475"/>
    </row>
    <row r="1754" spans="11:15">
      <c r="K1754" s="1472">
        <v>43811</v>
      </c>
      <c r="L1754" s="1473" t="s">
        <v>2127</v>
      </c>
      <c r="M1754" s="1474">
        <v>1.7089E-2</v>
      </c>
      <c r="N1754" s="1475">
        <v>1.5701721685650916</v>
      </c>
      <c r="O1754" s="1475"/>
    </row>
    <row r="1755" spans="11:15">
      <c r="K1755" s="1472">
        <v>43812</v>
      </c>
      <c r="L1755" s="1473" t="s">
        <v>2127</v>
      </c>
      <c r="M1755" s="1474">
        <v>1.7089E-2</v>
      </c>
      <c r="N1755" s="1475">
        <v>1.5704404952869775</v>
      </c>
      <c r="O1755" s="1475"/>
    </row>
    <row r="1756" spans="11:15">
      <c r="K1756" s="1472">
        <v>43813</v>
      </c>
      <c r="L1756" s="1473"/>
      <c r="M1756" s="1474">
        <v>0</v>
      </c>
      <c r="N1756" s="1475">
        <v>1.5704404952869775</v>
      </c>
      <c r="O1756" s="1475"/>
    </row>
    <row r="1757" spans="11:15">
      <c r="K1757" s="1472">
        <v>43814</v>
      </c>
      <c r="L1757" s="1473"/>
      <c r="M1757" s="1474">
        <v>0</v>
      </c>
      <c r="N1757" s="1475">
        <v>1.5704404952869775</v>
      </c>
      <c r="O1757" s="1475"/>
    </row>
    <row r="1758" spans="11:15">
      <c r="K1758" s="1472">
        <v>43815</v>
      </c>
      <c r="L1758" s="1473" t="s">
        <v>2127</v>
      </c>
      <c r="M1758" s="1474">
        <v>1.7089E-2</v>
      </c>
      <c r="N1758" s="1475">
        <v>1.5707088678632171</v>
      </c>
      <c r="O1758" s="1475"/>
    </row>
    <row r="1759" spans="11:15">
      <c r="K1759" s="1472">
        <v>43816</v>
      </c>
      <c r="L1759" s="1473" t="s">
        <v>2127</v>
      </c>
      <c r="M1759" s="1474">
        <v>1.7089E-2</v>
      </c>
      <c r="N1759" s="1475">
        <v>1.570977286301646</v>
      </c>
      <c r="O1759" s="1475"/>
    </row>
    <row r="1760" spans="11:15">
      <c r="K1760" s="1472">
        <v>43817</v>
      </c>
      <c r="L1760" s="1473" t="s">
        <v>2127</v>
      </c>
      <c r="M1760" s="1474">
        <v>1.7089E-2</v>
      </c>
      <c r="N1760" s="1475">
        <v>1.5712457506101021</v>
      </c>
      <c r="O1760" s="1475"/>
    </row>
    <row r="1761" spans="11:15">
      <c r="K1761" s="1472">
        <v>43818</v>
      </c>
      <c r="L1761" s="1473" t="s">
        <v>2127</v>
      </c>
      <c r="M1761" s="1474">
        <v>1.7089E-2</v>
      </c>
      <c r="N1761" s="1475">
        <v>1.5715142607964236</v>
      </c>
      <c r="O1761" s="1475"/>
    </row>
    <row r="1762" spans="11:15">
      <c r="K1762" s="1472">
        <v>43819</v>
      </c>
      <c r="L1762" s="1473" t="s">
        <v>2127</v>
      </c>
      <c r="M1762" s="1474">
        <v>1.7089E-2</v>
      </c>
      <c r="N1762" s="1475">
        <v>1.5717828168684511</v>
      </c>
      <c r="O1762" s="1475"/>
    </row>
    <row r="1763" spans="11:15">
      <c r="K1763" s="1472">
        <v>43820</v>
      </c>
      <c r="L1763" s="1473"/>
      <c r="M1763" s="1474">
        <v>0</v>
      </c>
      <c r="N1763" s="1475">
        <v>1.5717828168684511</v>
      </c>
      <c r="O1763" s="1475"/>
    </row>
    <row r="1764" spans="11:15">
      <c r="K1764" s="1472">
        <v>43821</v>
      </c>
      <c r="L1764" s="1473"/>
      <c r="M1764" s="1474">
        <v>0</v>
      </c>
      <c r="N1764" s="1475">
        <v>1.5717828168684511</v>
      </c>
      <c r="O1764" s="1475"/>
    </row>
    <row r="1765" spans="11:15">
      <c r="K1765" s="1472">
        <v>43822</v>
      </c>
      <c r="L1765" s="1473" t="s">
        <v>2127</v>
      </c>
      <c r="M1765" s="1474">
        <v>1.7089E-2</v>
      </c>
      <c r="N1765" s="1475">
        <v>1.5720514188340255</v>
      </c>
      <c r="O1765" s="1475"/>
    </row>
    <row r="1766" spans="11:15">
      <c r="K1766" s="1472">
        <v>43823</v>
      </c>
      <c r="L1766" s="1473" t="s">
        <v>2127</v>
      </c>
      <c r="M1766" s="1474">
        <v>1.7089E-2</v>
      </c>
      <c r="N1766" s="1475">
        <v>1.57232006670099</v>
      </c>
      <c r="O1766" s="1475"/>
    </row>
    <row r="1767" spans="11:15">
      <c r="K1767" s="1472">
        <v>43824</v>
      </c>
      <c r="L1767" s="1473"/>
      <c r="M1767" s="1474">
        <v>0</v>
      </c>
      <c r="N1767" s="1475">
        <v>1.57232006670099</v>
      </c>
      <c r="O1767" s="1475"/>
    </row>
    <row r="1768" spans="11:15">
      <c r="K1768" s="1472">
        <v>43825</v>
      </c>
      <c r="L1768" s="1473" t="s">
        <v>2127</v>
      </c>
      <c r="M1768" s="1474">
        <v>1.7089E-2</v>
      </c>
      <c r="N1768" s="1475">
        <v>1.5725887604771884</v>
      </c>
      <c r="O1768" s="1475"/>
    </row>
    <row r="1769" spans="11:15">
      <c r="K1769" s="1472">
        <v>43826</v>
      </c>
      <c r="L1769" s="1473" t="s">
        <v>2127</v>
      </c>
      <c r="M1769" s="1474">
        <v>1.7089E-2</v>
      </c>
      <c r="N1769" s="1475">
        <v>1.5728575001704663</v>
      </c>
      <c r="O1769" s="1475"/>
    </row>
    <row r="1770" spans="11:15">
      <c r="K1770" s="1472">
        <v>43827</v>
      </c>
      <c r="L1770" s="1473"/>
      <c r="M1770" s="1474">
        <v>0</v>
      </c>
      <c r="N1770" s="1475">
        <v>1.5728575001704663</v>
      </c>
      <c r="O1770" s="1475"/>
    </row>
    <row r="1771" spans="11:15">
      <c r="K1771" s="1472">
        <v>43828</v>
      </c>
      <c r="L1771" s="1473"/>
      <c r="M1771" s="1474">
        <v>0</v>
      </c>
      <c r="N1771" s="1475">
        <v>1.5728575001704663</v>
      </c>
      <c r="O1771" s="1475"/>
    </row>
    <row r="1772" spans="11:15">
      <c r="K1772" s="1472">
        <v>43829</v>
      </c>
      <c r="L1772" s="1473" t="s">
        <v>2127</v>
      </c>
      <c r="M1772" s="1474">
        <v>1.7089E-2</v>
      </c>
      <c r="N1772" s="1475">
        <v>1.5731262857886703</v>
      </c>
      <c r="O1772" s="1475"/>
    </row>
    <row r="1773" spans="11:15">
      <c r="K1773" s="1472">
        <v>43830</v>
      </c>
      <c r="L1773" s="1473" t="s">
        <v>2127</v>
      </c>
      <c r="M1773" s="1474">
        <v>1.7089E-2</v>
      </c>
      <c r="N1773" s="1475">
        <v>1.5733951173396485</v>
      </c>
      <c r="O1773" s="1475"/>
    </row>
    <row r="1774" spans="11:15">
      <c r="K1774" s="1472">
        <v>43831</v>
      </c>
      <c r="L1774" s="1473"/>
      <c r="M1774" s="1474">
        <v>0</v>
      </c>
      <c r="N1774" s="1475">
        <v>1.5733951173396485</v>
      </c>
      <c r="O1774" s="1475"/>
    </row>
    <row r="1775" spans="11:15">
      <c r="K1775" s="1472">
        <v>43832</v>
      </c>
      <c r="L1775" s="1473" t="s">
        <v>2127</v>
      </c>
      <c r="M1775" s="1474">
        <v>1.7089E-2</v>
      </c>
      <c r="N1775" s="1475">
        <v>1.5736639948312505</v>
      </c>
      <c r="O1775" s="1475"/>
    </row>
    <row r="1776" spans="11:15">
      <c r="K1776" s="1472">
        <v>43833</v>
      </c>
      <c r="L1776" s="1473" t="s">
        <v>2127</v>
      </c>
      <c r="M1776" s="1474">
        <v>1.7089E-2</v>
      </c>
      <c r="N1776" s="1475">
        <v>1.5739329182713271</v>
      </c>
      <c r="O1776" s="1475"/>
    </row>
    <row r="1777" spans="11:15">
      <c r="K1777" s="1472">
        <v>43834</v>
      </c>
      <c r="L1777" s="1473"/>
      <c r="M1777" s="1474">
        <v>0</v>
      </c>
      <c r="N1777" s="1475">
        <v>1.5739329182713271</v>
      </c>
      <c r="O1777" s="1475"/>
    </row>
    <row r="1778" spans="11:15">
      <c r="K1778" s="1472">
        <v>43835</v>
      </c>
      <c r="L1778" s="1473"/>
      <c r="M1778" s="1474">
        <v>0</v>
      </c>
      <c r="N1778" s="1475">
        <v>1.5739329182713271</v>
      </c>
      <c r="O1778" s="1475"/>
    </row>
    <row r="1779" spans="11:15">
      <c r="K1779" s="1472">
        <v>43836</v>
      </c>
      <c r="L1779" s="1473" t="s">
        <v>2127</v>
      </c>
      <c r="M1779" s="1474">
        <v>1.7089E-2</v>
      </c>
      <c r="N1779" s="1475">
        <v>1.5742018876677304</v>
      </c>
      <c r="O1779" s="1475"/>
    </row>
    <row r="1780" spans="11:15">
      <c r="K1780" s="1472">
        <v>43837</v>
      </c>
      <c r="L1780" s="1473" t="s">
        <v>2127</v>
      </c>
      <c r="M1780" s="1474">
        <v>1.7089E-2</v>
      </c>
      <c r="N1780" s="1475">
        <v>1.5744709030283137</v>
      </c>
      <c r="O1780" s="1475"/>
    </row>
    <row r="1781" spans="11:15">
      <c r="K1781" s="1472">
        <v>43838</v>
      </c>
      <c r="L1781" s="1473" t="s">
        <v>2127</v>
      </c>
      <c r="M1781" s="1474">
        <v>1.7089E-2</v>
      </c>
      <c r="N1781" s="1475">
        <v>1.5747399643609321</v>
      </c>
      <c r="O1781" s="1475"/>
    </row>
    <row r="1782" spans="11:15">
      <c r="K1782" s="1472">
        <v>43839</v>
      </c>
      <c r="L1782" s="1473" t="s">
        <v>2127</v>
      </c>
      <c r="M1782" s="1474">
        <v>1.7089E-2</v>
      </c>
      <c r="N1782" s="1475">
        <v>1.5750090716734417</v>
      </c>
      <c r="O1782" s="1475"/>
    </row>
    <row r="1783" spans="11:15">
      <c r="K1783" s="1472">
        <v>43840</v>
      </c>
      <c r="L1783" s="1473" t="s">
        <v>2127</v>
      </c>
      <c r="M1783" s="1474">
        <v>1.7089E-2</v>
      </c>
      <c r="N1783" s="1475">
        <v>1.5752782249736998</v>
      </c>
      <c r="O1783" s="1475"/>
    </row>
    <row r="1784" spans="11:15">
      <c r="K1784" s="1472">
        <v>43841</v>
      </c>
      <c r="L1784" s="1473"/>
      <c r="M1784" s="1474">
        <v>0</v>
      </c>
      <c r="N1784" s="1475">
        <v>1.5752782249736998</v>
      </c>
      <c r="O1784" s="1475"/>
    </row>
    <row r="1785" spans="11:15">
      <c r="K1785" s="1472">
        <v>43842</v>
      </c>
      <c r="L1785" s="1473"/>
      <c r="M1785" s="1474">
        <v>0</v>
      </c>
      <c r="N1785" s="1475">
        <v>1.5752782249736998</v>
      </c>
      <c r="O1785" s="1475"/>
    </row>
    <row r="1786" spans="11:15">
      <c r="K1786" s="1472">
        <v>43843</v>
      </c>
      <c r="L1786" s="1473" t="s">
        <v>2127</v>
      </c>
      <c r="M1786" s="1474">
        <v>1.7089E-2</v>
      </c>
      <c r="N1786" s="1475">
        <v>1.5755474242695655</v>
      </c>
      <c r="O1786" s="1475"/>
    </row>
    <row r="1787" spans="11:15">
      <c r="K1787" s="1472">
        <v>43844</v>
      </c>
      <c r="L1787" s="1473" t="s">
        <v>2127</v>
      </c>
      <c r="M1787" s="1474">
        <v>1.7089E-2</v>
      </c>
      <c r="N1787" s="1475">
        <v>1.5758166695688989</v>
      </c>
      <c r="O1787" s="1475"/>
    </row>
    <row r="1788" spans="11:15">
      <c r="K1788" s="1472">
        <v>43845</v>
      </c>
      <c r="L1788" s="1473" t="s">
        <v>2127</v>
      </c>
      <c r="M1788" s="1474">
        <v>1.7089E-2</v>
      </c>
      <c r="N1788" s="1475">
        <v>1.5760859608795614</v>
      </c>
      <c r="O1788" s="1475"/>
    </row>
    <row r="1789" spans="11:15">
      <c r="K1789" s="1472">
        <v>43846</v>
      </c>
      <c r="L1789" s="1473" t="s">
        <v>2127</v>
      </c>
      <c r="M1789" s="1474">
        <v>1.7089E-2</v>
      </c>
      <c r="N1789" s="1475">
        <v>1.576355298209416</v>
      </c>
      <c r="O1789" s="1475"/>
    </row>
    <row r="1790" spans="11:15">
      <c r="K1790" s="1472">
        <v>43847</v>
      </c>
      <c r="L1790" s="1473" t="s">
        <v>2127</v>
      </c>
      <c r="M1790" s="1474">
        <v>1.7089E-2</v>
      </c>
      <c r="N1790" s="1475">
        <v>1.576624681566327</v>
      </c>
      <c r="O1790" s="1475"/>
    </row>
    <row r="1791" spans="11:15">
      <c r="K1791" s="1472">
        <v>43848</v>
      </c>
      <c r="L1791" s="1473"/>
      <c r="M1791" s="1474">
        <v>0</v>
      </c>
      <c r="N1791" s="1475">
        <v>1.576624681566327</v>
      </c>
      <c r="O1791" s="1475"/>
    </row>
    <row r="1792" spans="11:15">
      <c r="K1792" s="1472">
        <v>43849</v>
      </c>
      <c r="L1792" s="1473"/>
      <c r="M1792" s="1474">
        <v>0</v>
      </c>
      <c r="N1792" s="1475">
        <v>1.576624681566327</v>
      </c>
      <c r="O1792" s="1475"/>
    </row>
    <row r="1793" spans="11:15">
      <c r="K1793" s="1472">
        <v>43850</v>
      </c>
      <c r="L1793" s="1473" t="s">
        <v>2127</v>
      </c>
      <c r="M1793" s="1474">
        <v>1.7089E-2</v>
      </c>
      <c r="N1793" s="1475">
        <v>1.5768941109581598</v>
      </c>
      <c r="O1793" s="1475"/>
    </row>
    <row r="1794" spans="11:15">
      <c r="K1794" s="1472">
        <v>43851</v>
      </c>
      <c r="L1794" s="1473" t="s">
        <v>2127</v>
      </c>
      <c r="M1794" s="1474">
        <v>1.7089E-2</v>
      </c>
      <c r="N1794" s="1475">
        <v>1.5771635863927813</v>
      </c>
      <c r="O1794" s="1475"/>
    </row>
    <row r="1795" spans="11:15">
      <c r="K1795" s="1472">
        <v>43852</v>
      </c>
      <c r="L1795" s="1473" t="s">
        <v>2127</v>
      </c>
      <c r="M1795" s="1474">
        <v>1.7089E-2</v>
      </c>
      <c r="N1795" s="1475">
        <v>1.5774331078780599</v>
      </c>
      <c r="O1795" s="1475"/>
    </row>
    <row r="1796" spans="11:15">
      <c r="K1796" s="1472">
        <v>43853</v>
      </c>
      <c r="L1796" s="1473" t="s">
        <v>2127</v>
      </c>
      <c r="M1796" s="1474">
        <v>1.7089E-2</v>
      </c>
      <c r="N1796" s="1475">
        <v>1.577702675421865</v>
      </c>
      <c r="O1796" s="1475"/>
    </row>
    <row r="1797" spans="11:15">
      <c r="K1797" s="1472">
        <v>43854</v>
      </c>
      <c r="L1797" s="1473" t="s">
        <v>2127</v>
      </c>
      <c r="M1797" s="1474">
        <v>1.7089E-2</v>
      </c>
      <c r="N1797" s="1475">
        <v>1.5779722890320678</v>
      </c>
      <c r="O1797" s="1475"/>
    </row>
    <row r="1798" spans="11:15">
      <c r="K1798" s="1472">
        <v>43855</v>
      </c>
      <c r="L1798" s="1473"/>
      <c r="M1798" s="1474">
        <v>0</v>
      </c>
      <c r="N1798" s="1475">
        <v>1.5779722890320678</v>
      </c>
      <c r="O1798" s="1475"/>
    </row>
    <row r="1799" spans="11:15">
      <c r="K1799" s="1472">
        <v>43856</v>
      </c>
      <c r="L1799" s="1473"/>
      <c r="M1799" s="1474">
        <v>0</v>
      </c>
      <c r="N1799" s="1475">
        <v>1.5779722890320678</v>
      </c>
      <c r="O1799" s="1475"/>
    </row>
    <row r="1800" spans="11:15">
      <c r="K1800" s="1472">
        <v>43857</v>
      </c>
      <c r="L1800" s="1473" t="s">
        <v>2127</v>
      </c>
      <c r="M1800" s="1474">
        <v>1.7089E-2</v>
      </c>
      <c r="N1800" s="1475">
        <v>1.5782419487165404</v>
      </c>
      <c r="O1800" s="1475"/>
    </row>
    <row r="1801" spans="11:15">
      <c r="K1801" s="1472">
        <v>43858</v>
      </c>
      <c r="L1801" s="1473" t="s">
        <v>2127</v>
      </c>
      <c r="M1801" s="1474">
        <v>1.7089E-2</v>
      </c>
      <c r="N1801" s="1475">
        <v>1.5785116544831566</v>
      </c>
      <c r="O1801" s="1475"/>
    </row>
    <row r="1802" spans="11:15">
      <c r="K1802" s="1472">
        <v>43859</v>
      </c>
      <c r="L1802" s="1473" t="s">
        <v>2127</v>
      </c>
      <c r="M1802" s="1474">
        <v>1.7089E-2</v>
      </c>
      <c r="N1802" s="1475">
        <v>1.5787814063397911</v>
      </c>
      <c r="O1802" s="1475"/>
    </row>
    <row r="1803" spans="11:15">
      <c r="K1803" s="1472">
        <v>43860</v>
      </c>
      <c r="L1803" s="1473" t="s">
        <v>2127</v>
      </c>
      <c r="M1803" s="1474">
        <v>1.7089E-2</v>
      </c>
      <c r="N1803" s="1475">
        <v>1.5790512042943203</v>
      </c>
      <c r="O1803" s="1475"/>
    </row>
    <row r="1804" spans="11:15">
      <c r="K1804" s="1472">
        <v>43861</v>
      </c>
      <c r="L1804" s="1473" t="s">
        <v>2127</v>
      </c>
      <c r="M1804" s="1474">
        <v>1.7089E-2</v>
      </c>
      <c r="N1804" s="1475">
        <v>1.5793210483546221</v>
      </c>
      <c r="O1804" s="1475"/>
    </row>
    <row r="1805" spans="11:15">
      <c r="K1805" s="1472">
        <v>43862</v>
      </c>
      <c r="L1805" s="1473"/>
      <c r="M1805" s="1474">
        <v>0</v>
      </c>
      <c r="N1805" s="1475">
        <v>1.5793210483546221</v>
      </c>
      <c r="O1805" s="1475"/>
    </row>
    <row r="1806" spans="11:15">
      <c r="K1806" s="1472">
        <v>43863</v>
      </c>
      <c r="L1806" s="1473"/>
      <c r="M1806" s="1474">
        <v>0</v>
      </c>
      <c r="N1806" s="1475">
        <v>1.5793210483546221</v>
      </c>
      <c r="O1806" s="1475"/>
    </row>
    <row r="1807" spans="11:15">
      <c r="K1807" s="1472">
        <v>43864</v>
      </c>
      <c r="L1807" s="1473" t="s">
        <v>2127</v>
      </c>
      <c r="M1807" s="1474">
        <v>1.7089E-2</v>
      </c>
      <c r="N1807" s="1475">
        <v>1.5795909385285754</v>
      </c>
      <c r="O1807" s="1475"/>
    </row>
    <row r="1808" spans="11:15">
      <c r="K1808" s="1472">
        <v>43865</v>
      </c>
      <c r="L1808" s="1473" t="s">
        <v>2127</v>
      </c>
      <c r="M1808" s="1474">
        <v>1.7089E-2</v>
      </c>
      <c r="N1808" s="1475">
        <v>1.5798608748240603</v>
      </c>
      <c r="O1808" s="1475"/>
    </row>
    <row r="1809" spans="11:15">
      <c r="K1809" s="1472">
        <v>43866</v>
      </c>
      <c r="L1809" s="1473" t="s">
        <v>2127</v>
      </c>
      <c r="M1809" s="1474">
        <v>1.7089E-2</v>
      </c>
      <c r="N1809" s="1475">
        <v>1.580130857248959</v>
      </c>
      <c r="O1809" s="1475"/>
    </row>
    <row r="1810" spans="11:15">
      <c r="K1810" s="1472">
        <v>43867</v>
      </c>
      <c r="L1810" s="1473" t="s">
        <v>2127</v>
      </c>
      <c r="M1810" s="1474">
        <v>1.6136999999999999E-2</v>
      </c>
      <c r="N1810" s="1475">
        <v>1.5803858429653934</v>
      </c>
      <c r="O1810" s="1475"/>
    </row>
    <row r="1811" spans="11:15">
      <c r="K1811" s="1472">
        <v>43868</v>
      </c>
      <c r="L1811" s="1473" t="s">
        <v>2127</v>
      </c>
      <c r="M1811" s="1474">
        <v>1.6136999999999999E-2</v>
      </c>
      <c r="N1811" s="1475">
        <v>1.5806408698288728</v>
      </c>
      <c r="O1811" s="1475"/>
    </row>
    <row r="1812" spans="11:15">
      <c r="K1812" s="1472">
        <v>43869</v>
      </c>
      <c r="L1812" s="1473"/>
      <c r="M1812" s="1474">
        <v>0</v>
      </c>
      <c r="N1812" s="1475">
        <v>1.5806408698288728</v>
      </c>
      <c r="O1812" s="1475"/>
    </row>
    <row r="1813" spans="11:15">
      <c r="K1813" s="1472">
        <v>43870</v>
      </c>
      <c r="L1813" s="1473"/>
      <c r="M1813" s="1474">
        <v>0</v>
      </c>
      <c r="N1813" s="1475">
        <v>1.5806408698288728</v>
      </c>
      <c r="O1813" s="1475"/>
    </row>
    <row r="1814" spans="11:15">
      <c r="K1814" s="1472">
        <v>43871</v>
      </c>
      <c r="L1814" s="1473" t="s">
        <v>2127</v>
      </c>
      <c r="M1814" s="1474">
        <v>1.6136999999999999E-2</v>
      </c>
      <c r="N1814" s="1475">
        <v>1.5808959378460372</v>
      </c>
      <c r="O1814" s="1475"/>
    </row>
    <row r="1815" spans="11:15">
      <c r="K1815" s="1472">
        <v>43872</v>
      </c>
      <c r="L1815" s="1473" t="s">
        <v>2127</v>
      </c>
      <c r="M1815" s="1474">
        <v>1.6136999999999999E-2</v>
      </c>
      <c r="N1815" s="1475">
        <v>1.5811510470235275</v>
      </c>
      <c r="O1815" s="1475"/>
    </row>
    <row r="1816" spans="11:15">
      <c r="K1816" s="1472">
        <v>43873</v>
      </c>
      <c r="L1816" s="1473" t="s">
        <v>2127</v>
      </c>
      <c r="M1816" s="1474">
        <v>1.6136999999999999E-2</v>
      </c>
      <c r="N1816" s="1475">
        <v>1.5814061973679858</v>
      </c>
      <c r="O1816" s="1475"/>
    </row>
    <row r="1817" spans="11:15">
      <c r="K1817" s="1472">
        <v>43874</v>
      </c>
      <c r="L1817" s="1473" t="s">
        <v>2127</v>
      </c>
      <c r="M1817" s="1474">
        <v>1.6136999999999999E-2</v>
      </c>
      <c r="N1817" s="1475">
        <v>1.5816613888860551</v>
      </c>
      <c r="O1817" s="1475"/>
    </row>
    <row r="1818" spans="11:15">
      <c r="K1818" s="1472">
        <v>43875</v>
      </c>
      <c r="L1818" s="1473" t="s">
        <v>2127</v>
      </c>
      <c r="M1818" s="1474">
        <v>1.6136999999999999E-2</v>
      </c>
      <c r="N1818" s="1475">
        <v>1.5819166215843798</v>
      </c>
      <c r="O1818" s="1475"/>
    </row>
    <row r="1819" spans="11:15">
      <c r="K1819" s="1472">
        <v>43876</v>
      </c>
      <c r="L1819" s="1473"/>
      <c r="M1819" s="1474">
        <v>0</v>
      </c>
      <c r="N1819" s="1475">
        <v>1.5819166215843798</v>
      </c>
      <c r="O1819" s="1475"/>
    </row>
    <row r="1820" spans="11:15">
      <c r="K1820" s="1472">
        <v>43877</v>
      </c>
      <c r="L1820" s="1473"/>
      <c r="M1820" s="1474">
        <v>0</v>
      </c>
      <c r="N1820" s="1475">
        <v>1.5819166215843798</v>
      </c>
      <c r="O1820" s="1475"/>
    </row>
    <row r="1821" spans="11:15">
      <c r="K1821" s="1472">
        <v>43878</v>
      </c>
      <c r="L1821" s="1473" t="s">
        <v>2127</v>
      </c>
      <c r="M1821" s="1474">
        <v>1.6136999999999999E-2</v>
      </c>
      <c r="N1821" s="1475">
        <v>1.5821718954696049</v>
      </c>
      <c r="O1821" s="1475"/>
    </row>
    <row r="1822" spans="11:15">
      <c r="K1822" s="1472">
        <v>43879</v>
      </c>
      <c r="L1822" s="1473" t="s">
        <v>2127</v>
      </c>
      <c r="M1822" s="1474">
        <v>1.6136999999999999E-2</v>
      </c>
      <c r="N1822" s="1475">
        <v>1.582427210548377</v>
      </c>
      <c r="O1822" s="1475"/>
    </row>
    <row r="1823" spans="11:15">
      <c r="K1823" s="1472">
        <v>43880</v>
      </c>
      <c r="L1823" s="1473" t="s">
        <v>2127</v>
      </c>
      <c r="M1823" s="1474">
        <v>1.6136999999999999E-2</v>
      </c>
      <c r="N1823" s="1475">
        <v>1.5826825668273432</v>
      </c>
      <c r="O1823" s="1475"/>
    </row>
    <row r="1824" spans="11:15">
      <c r="K1824" s="1472">
        <v>43881</v>
      </c>
      <c r="L1824" s="1473" t="s">
        <v>2127</v>
      </c>
      <c r="M1824" s="1474">
        <v>1.6136999999999999E-2</v>
      </c>
      <c r="N1824" s="1475">
        <v>1.5829379643131523</v>
      </c>
      <c r="O1824" s="1475"/>
    </row>
    <row r="1825" spans="11:15">
      <c r="K1825" s="1472">
        <v>43882</v>
      </c>
      <c r="L1825" s="1473" t="s">
        <v>2127</v>
      </c>
      <c r="M1825" s="1474">
        <v>1.6136999999999999E-2</v>
      </c>
      <c r="N1825" s="1475">
        <v>1.5831934030124535</v>
      </c>
      <c r="O1825" s="1475"/>
    </row>
    <row r="1826" spans="11:15">
      <c r="K1826" s="1472">
        <v>43883</v>
      </c>
      <c r="L1826" s="1473"/>
      <c r="M1826" s="1474">
        <v>0</v>
      </c>
      <c r="N1826" s="1475">
        <v>1.5831934030124535</v>
      </c>
      <c r="O1826" s="1475"/>
    </row>
    <row r="1827" spans="11:15">
      <c r="K1827" s="1472">
        <v>43884</v>
      </c>
      <c r="L1827" s="1473"/>
      <c r="M1827" s="1474">
        <v>0</v>
      </c>
      <c r="N1827" s="1475">
        <v>1.5831934030124535</v>
      </c>
      <c r="O1827" s="1475"/>
    </row>
    <row r="1828" spans="11:15">
      <c r="K1828" s="1472">
        <v>43885</v>
      </c>
      <c r="L1828" s="1473"/>
      <c r="M1828" s="1474">
        <v>0</v>
      </c>
      <c r="N1828" s="1475">
        <v>1.5831934030124535</v>
      </c>
      <c r="O1828" s="1475"/>
    </row>
    <row r="1829" spans="11:15">
      <c r="K1829" s="1472">
        <v>43886</v>
      </c>
      <c r="L1829" s="1473"/>
      <c r="M1829" s="1474">
        <v>0</v>
      </c>
      <c r="N1829" s="1475">
        <v>1.5831934030124535</v>
      </c>
      <c r="O1829" s="1475"/>
    </row>
    <row r="1830" spans="11:15">
      <c r="K1830" s="1472">
        <v>43887</v>
      </c>
      <c r="L1830" s="1473" t="s">
        <v>2127</v>
      </c>
      <c r="M1830" s="1474">
        <v>1.6136999999999999E-2</v>
      </c>
      <c r="N1830" s="1475">
        <v>1.5834488829318978</v>
      </c>
      <c r="O1830" s="1475"/>
    </row>
    <row r="1831" spans="11:15">
      <c r="K1831" s="1472">
        <v>43888</v>
      </c>
      <c r="L1831" s="1473" t="s">
        <v>2127</v>
      </c>
      <c r="M1831" s="1474">
        <v>1.6136999999999999E-2</v>
      </c>
      <c r="N1831" s="1475">
        <v>1.5837044040781365</v>
      </c>
      <c r="O1831" s="1475"/>
    </row>
    <row r="1832" spans="11:15">
      <c r="K1832" s="1472">
        <v>43889</v>
      </c>
      <c r="L1832" s="1473" t="s">
        <v>2127</v>
      </c>
      <c r="M1832" s="1474">
        <v>1.6136999999999999E-2</v>
      </c>
      <c r="N1832" s="1475">
        <v>1.5839599664578228</v>
      </c>
      <c r="O1832" s="1475"/>
    </row>
    <row r="1833" spans="11:15">
      <c r="K1833" s="1472">
        <v>43890</v>
      </c>
      <c r="L1833" s="1473"/>
      <c r="M1833" s="1474">
        <v>0</v>
      </c>
      <c r="N1833" s="1475">
        <v>1.5839599664578228</v>
      </c>
      <c r="O1833" s="1475"/>
    </row>
    <row r="1834" spans="11:15">
      <c r="K1834" s="1472">
        <v>43891</v>
      </c>
      <c r="L1834" s="1473"/>
      <c r="M1834" s="1474">
        <v>0</v>
      </c>
      <c r="N1834" s="1475">
        <v>1.5839599664578228</v>
      </c>
      <c r="O1834" s="1475"/>
    </row>
    <row r="1835" spans="11:15">
      <c r="K1835" s="1472">
        <v>43892</v>
      </c>
      <c r="L1835" s="1473" t="s">
        <v>2127</v>
      </c>
      <c r="M1835" s="1474">
        <v>1.6136999999999999E-2</v>
      </c>
      <c r="N1835" s="1475">
        <v>1.5842155700776102</v>
      </c>
      <c r="O1835" s="1475"/>
    </row>
    <row r="1836" spans="11:15">
      <c r="K1836" s="1472">
        <v>43893</v>
      </c>
      <c r="L1836" s="1473" t="s">
        <v>2127</v>
      </c>
      <c r="M1836" s="1474">
        <v>1.6136999999999999E-2</v>
      </c>
      <c r="N1836" s="1475">
        <v>1.5844712149441535</v>
      </c>
      <c r="O1836" s="1475"/>
    </row>
    <row r="1837" spans="11:15">
      <c r="K1837" s="1472">
        <v>43894</v>
      </c>
      <c r="L1837" s="1473" t="s">
        <v>2127</v>
      </c>
      <c r="M1837" s="1474">
        <v>1.6136999999999999E-2</v>
      </c>
      <c r="N1837" s="1475">
        <v>1.5847269010641092</v>
      </c>
      <c r="O1837" s="1475"/>
    </row>
    <row r="1838" spans="11:15">
      <c r="K1838" s="1472">
        <v>43895</v>
      </c>
      <c r="L1838" s="1473" t="s">
        <v>2127</v>
      </c>
      <c r="M1838" s="1474">
        <v>1.6136999999999999E-2</v>
      </c>
      <c r="N1838" s="1475">
        <v>1.584982628444134</v>
      </c>
      <c r="O1838" s="1475"/>
    </row>
    <row r="1839" spans="11:15">
      <c r="K1839" s="1472">
        <v>43896</v>
      </c>
      <c r="L1839" s="1473" t="s">
        <v>2127</v>
      </c>
      <c r="M1839" s="1474">
        <v>1.6136999999999999E-2</v>
      </c>
      <c r="N1839" s="1475">
        <v>1.5852383970908861</v>
      </c>
      <c r="O1839" s="1475"/>
    </row>
    <row r="1840" spans="11:15">
      <c r="K1840" s="1472">
        <v>43897</v>
      </c>
      <c r="L1840" s="1473"/>
      <c r="M1840" s="1474">
        <v>0</v>
      </c>
      <c r="N1840" s="1475">
        <v>1.5852383970908861</v>
      </c>
      <c r="O1840" s="1475"/>
    </row>
    <row r="1841" spans="11:15">
      <c r="K1841" s="1472">
        <v>43898</v>
      </c>
      <c r="L1841" s="1473"/>
      <c r="M1841" s="1474">
        <v>0</v>
      </c>
      <c r="N1841" s="1475">
        <v>1.5852383970908861</v>
      </c>
      <c r="O1841" s="1475"/>
    </row>
    <row r="1842" spans="11:15">
      <c r="K1842" s="1472">
        <v>43899</v>
      </c>
      <c r="L1842" s="1473" t="s">
        <v>2127</v>
      </c>
      <c r="M1842" s="1474">
        <v>1.6136999999999999E-2</v>
      </c>
      <c r="N1842" s="1475">
        <v>1.5854942070110247</v>
      </c>
      <c r="O1842" s="1475"/>
    </row>
    <row r="1843" spans="11:15">
      <c r="K1843" s="1472">
        <v>43900</v>
      </c>
      <c r="L1843" s="1473" t="s">
        <v>2127</v>
      </c>
      <c r="M1843" s="1474">
        <v>1.6136999999999999E-2</v>
      </c>
      <c r="N1843" s="1475">
        <v>1.5857500582112101</v>
      </c>
      <c r="O1843" s="1475"/>
    </row>
    <row r="1844" spans="11:15">
      <c r="K1844" s="1472">
        <v>43901</v>
      </c>
      <c r="L1844" s="1473" t="s">
        <v>2127</v>
      </c>
      <c r="M1844" s="1474">
        <v>1.6136999999999999E-2</v>
      </c>
      <c r="N1844" s="1475">
        <v>1.5860059506981037</v>
      </c>
      <c r="O1844" s="1475"/>
    </row>
    <row r="1845" spans="11:15">
      <c r="K1845" s="1472">
        <v>43902</v>
      </c>
      <c r="L1845" s="1473" t="s">
        <v>2127</v>
      </c>
      <c r="M1845" s="1474">
        <v>1.6136999999999999E-2</v>
      </c>
      <c r="N1845" s="1475">
        <v>1.586261884478368</v>
      </c>
      <c r="O1845" s="1475"/>
    </row>
    <row r="1846" spans="11:15">
      <c r="K1846" s="1472">
        <v>43903</v>
      </c>
      <c r="L1846" s="1473" t="s">
        <v>2127</v>
      </c>
      <c r="M1846" s="1474">
        <v>1.6136999999999999E-2</v>
      </c>
      <c r="N1846" s="1475">
        <v>1.5865178595586664</v>
      </c>
      <c r="O1846" s="1475"/>
    </row>
    <row r="1847" spans="11:15">
      <c r="K1847" s="1472">
        <v>43904</v>
      </c>
      <c r="L1847" s="1473"/>
      <c r="M1847" s="1474">
        <v>0</v>
      </c>
      <c r="N1847" s="1475">
        <v>1.5865178595586664</v>
      </c>
      <c r="O1847" s="1475"/>
    </row>
    <row r="1848" spans="11:15">
      <c r="K1848" s="1472">
        <v>43905</v>
      </c>
      <c r="L1848" s="1473"/>
      <c r="M1848" s="1474">
        <v>0</v>
      </c>
      <c r="N1848" s="1475">
        <v>1.5865178595586664</v>
      </c>
      <c r="O1848" s="1475"/>
    </row>
    <row r="1849" spans="11:15">
      <c r="K1849" s="1472">
        <v>43906</v>
      </c>
      <c r="L1849" s="1473" t="s">
        <v>2127</v>
      </c>
      <c r="M1849" s="1474">
        <v>1.6136999999999999E-2</v>
      </c>
      <c r="N1849" s="1475">
        <v>1.5867738759456635</v>
      </c>
      <c r="O1849" s="1475"/>
    </row>
    <row r="1850" spans="11:15">
      <c r="K1850" s="1472">
        <v>43907</v>
      </c>
      <c r="L1850" s="1473" t="s">
        <v>2127</v>
      </c>
      <c r="M1850" s="1474">
        <v>1.6136999999999999E-2</v>
      </c>
      <c r="N1850" s="1475">
        <v>1.587029933646025</v>
      </c>
      <c r="O1850" s="1475"/>
    </row>
    <row r="1851" spans="11:15">
      <c r="K1851" s="1472">
        <v>43908</v>
      </c>
      <c r="L1851" s="1473" t="s">
        <v>2127</v>
      </c>
      <c r="M1851" s="1474">
        <v>1.6136999999999999E-2</v>
      </c>
      <c r="N1851" s="1475">
        <v>1.5872860326664175</v>
      </c>
      <c r="O1851" s="1475"/>
    </row>
    <row r="1852" spans="11:15">
      <c r="K1852" s="1472">
        <v>43909</v>
      </c>
      <c r="L1852" s="1473" t="s">
        <v>2127</v>
      </c>
      <c r="M1852" s="1474">
        <v>1.4227E-2</v>
      </c>
      <c r="N1852" s="1475">
        <v>1.587511855850285</v>
      </c>
      <c r="O1852" s="1475"/>
    </row>
    <row r="1853" spans="11:15">
      <c r="K1853" s="1472">
        <v>43910</v>
      </c>
      <c r="L1853" s="1473" t="s">
        <v>2127</v>
      </c>
      <c r="M1853" s="1474">
        <v>1.4227E-2</v>
      </c>
      <c r="N1853" s="1475">
        <v>1.5877377111620168</v>
      </c>
      <c r="O1853" s="1475"/>
    </row>
    <row r="1854" spans="11:15">
      <c r="K1854" s="1472">
        <v>43911</v>
      </c>
      <c r="L1854" s="1473"/>
      <c r="M1854" s="1474">
        <v>0</v>
      </c>
      <c r="N1854" s="1475">
        <v>1.5877377111620168</v>
      </c>
      <c r="O1854" s="1475"/>
    </row>
    <row r="1855" spans="11:15">
      <c r="K1855" s="1472">
        <v>43912</v>
      </c>
      <c r="L1855" s="1473"/>
      <c r="M1855" s="1474">
        <v>0</v>
      </c>
      <c r="N1855" s="1475">
        <v>1.5877377111620168</v>
      </c>
      <c r="O1855" s="1475"/>
    </row>
    <row r="1856" spans="11:15">
      <c r="K1856" s="1472">
        <v>43913</v>
      </c>
      <c r="L1856" s="1473" t="s">
        <v>2127</v>
      </c>
      <c r="M1856" s="1474">
        <v>1.4227E-2</v>
      </c>
      <c r="N1856" s="1475">
        <v>1.5879635986061837</v>
      </c>
      <c r="O1856" s="1475"/>
    </row>
    <row r="1857" spans="11:15">
      <c r="K1857" s="1472">
        <v>43914</v>
      </c>
      <c r="L1857" s="1473" t="s">
        <v>2127</v>
      </c>
      <c r="M1857" s="1474">
        <v>1.4227E-2</v>
      </c>
      <c r="N1857" s="1475">
        <v>1.5881895181873575</v>
      </c>
      <c r="O1857" s="1475"/>
    </row>
    <row r="1858" spans="11:15">
      <c r="K1858" s="1472">
        <v>43915</v>
      </c>
      <c r="L1858" s="1473" t="s">
        <v>2127</v>
      </c>
      <c r="M1858" s="1474">
        <v>1.4227E-2</v>
      </c>
      <c r="N1858" s="1475">
        <v>1.5884154699101101</v>
      </c>
      <c r="O1858" s="1475"/>
    </row>
    <row r="1859" spans="11:15">
      <c r="K1859" s="1472">
        <v>43916</v>
      </c>
      <c r="L1859" s="1473" t="s">
        <v>2127</v>
      </c>
      <c r="M1859" s="1474">
        <v>1.4227E-2</v>
      </c>
      <c r="N1859" s="1475">
        <v>1.5886414537790141</v>
      </c>
      <c r="O1859" s="1475"/>
    </row>
    <row r="1860" spans="11:15">
      <c r="K1860" s="1472">
        <v>43917</v>
      </c>
      <c r="L1860" s="1473" t="s">
        <v>2127</v>
      </c>
      <c r="M1860" s="1474">
        <v>1.4227E-2</v>
      </c>
      <c r="N1860" s="1475">
        <v>1.5888674697986434</v>
      </c>
      <c r="O1860" s="1475"/>
    </row>
    <row r="1861" spans="11:15">
      <c r="K1861" s="1472">
        <v>43918</v>
      </c>
      <c r="L1861" s="1473"/>
      <c r="M1861" s="1474">
        <v>0</v>
      </c>
      <c r="N1861" s="1475">
        <v>1.5888674697986434</v>
      </c>
      <c r="O1861" s="1475"/>
    </row>
    <row r="1862" spans="11:15">
      <c r="K1862" s="1472">
        <v>43919</v>
      </c>
      <c r="L1862" s="1473"/>
      <c r="M1862" s="1474">
        <v>0</v>
      </c>
      <c r="N1862" s="1475">
        <v>1.5888674697986434</v>
      </c>
      <c r="O1862" s="1475"/>
    </row>
    <row r="1863" spans="11:15">
      <c r="K1863" s="1472">
        <v>43920</v>
      </c>
      <c r="L1863" s="1473" t="s">
        <v>2127</v>
      </c>
      <c r="M1863" s="1474">
        <v>1.4227E-2</v>
      </c>
      <c r="N1863" s="1475">
        <v>1.5890935179735717</v>
      </c>
      <c r="O1863" s="1475"/>
    </row>
    <row r="1864" spans="11:15">
      <c r="K1864" s="1472">
        <v>43921</v>
      </c>
      <c r="L1864" s="1473" t="s">
        <v>2127</v>
      </c>
      <c r="M1864" s="1474">
        <v>1.4227E-2</v>
      </c>
      <c r="N1864" s="1475">
        <v>1.5893195983083739</v>
      </c>
      <c r="O1864" s="1475"/>
    </row>
    <row r="1865" spans="11:15">
      <c r="K1865" s="1472">
        <v>43922</v>
      </c>
      <c r="L1865" s="1473" t="s">
        <v>2127</v>
      </c>
      <c r="M1865" s="1474">
        <v>1.4227E-2</v>
      </c>
      <c r="N1865" s="1475">
        <v>1.5895457108076252</v>
      </c>
      <c r="O1865" s="1475"/>
    </row>
    <row r="1866" spans="11:15">
      <c r="K1866" s="1472">
        <v>43923</v>
      </c>
      <c r="L1866" s="1473" t="s">
        <v>2127</v>
      </c>
      <c r="M1866" s="1474">
        <v>1.4227E-2</v>
      </c>
      <c r="N1866" s="1475">
        <v>1.5897718554759017</v>
      </c>
      <c r="O1866" s="1475"/>
    </row>
    <row r="1867" spans="11:15">
      <c r="K1867" s="1472">
        <v>43924</v>
      </c>
      <c r="L1867" s="1473" t="s">
        <v>2127</v>
      </c>
      <c r="M1867" s="1474">
        <v>1.4227E-2</v>
      </c>
      <c r="N1867" s="1475">
        <v>1.5899980323177803</v>
      </c>
      <c r="O1867" s="1475"/>
    </row>
    <row r="1868" spans="11:15">
      <c r="K1868" s="1472">
        <v>43925</v>
      </c>
      <c r="L1868" s="1473"/>
      <c r="M1868" s="1474">
        <v>0</v>
      </c>
      <c r="N1868" s="1475">
        <v>1.5899980323177803</v>
      </c>
      <c r="O1868" s="1475"/>
    </row>
    <row r="1869" spans="11:15">
      <c r="K1869" s="1472">
        <v>43926</v>
      </c>
      <c r="L1869" s="1473"/>
      <c r="M1869" s="1474">
        <v>0</v>
      </c>
      <c r="N1869" s="1475">
        <v>1.5899980323177803</v>
      </c>
      <c r="O1869" s="1475"/>
    </row>
    <row r="1870" spans="11:15">
      <c r="K1870" s="1472">
        <v>43927</v>
      </c>
      <c r="L1870" s="1473" t="s">
        <v>2127</v>
      </c>
      <c r="M1870" s="1474">
        <v>1.4227E-2</v>
      </c>
      <c r="N1870" s="1475">
        <v>1.590224241337838</v>
      </c>
      <c r="O1870" s="1475"/>
    </row>
    <row r="1871" spans="11:15">
      <c r="K1871" s="1472">
        <v>43928</v>
      </c>
      <c r="L1871" s="1473" t="s">
        <v>2127</v>
      </c>
      <c r="M1871" s="1474">
        <v>1.4227E-2</v>
      </c>
      <c r="N1871" s="1475">
        <v>1.5904504825406531</v>
      </c>
      <c r="O1871" s="1475"/>
    </row>
    <row r="1872" spans="11:15">
      <c r="K1872" s="1472">
        <v>43929</v>
      </c>
      <c r="L1872" s="1473" t="s">
        <v>2127</v>
      </c>
      <c r="M1872" s="1474">
        <v>1.4227E-2</v>
      </c>
      <c r="N1872" s="1475">
        <v>1.5906767559308042</v>
      </c>
      <c r="O1872" s="1475"/>
    </row>
    <row r="1873" spans="11:15">
      <c r="K1873" s="1472">
        <v>43930</v>
      </c>
      <c r="L1873" s="1473" t="s">
        <v>2127</v>
      </c>
      <c r="M1873" s="1474">
        <v>1.4227E-2</v>
      </c>
      <c r="N1873" s="1475">
        <v>1.5909030615128705</v>
      </c>
      <c r="O1873" s="1475"/>
    </row>
    <row r="1874" spans="11:15">
      <c r="K1874" s="1472">
        <v>43931</v>
      </c>
      <c r="L1874" s="1473"/>
      <c r="M1874" s="1474">
        <v>0</v>
      </c>
      <c r="N1874" s="1475">
        <v>1.5909030615128705</v>
      </c>
      <c r="O1874" s="1475"/>
    </row>
    <row r="1875" spans="11:15">
      <c r="K1875" s="1472">
        <v>43932</v>
      </c>
      <c r="L1875" s="1473"/>
      <c r="M1875" s="1474">
        <v>0</v>
      </c>
      <c r="N1875" s="1475">
        <v>1.5909030615128705</v>
      </c>
      <c r="O1875" s="1475"/>
    </row>
    <row r="1876" spans="11:15">
      <c r="K1876" s="1472">
        <v>43933</v>
      </c>
      <c r="L1876" s="1473"/>
      <c r="M1876" s="1474">
        <v>0</v>
      </c>
      <c r="N1876" s="1475">
        <v>1.5909030615128705</v>
      </c>
      <c r="O1876" s="1475"/>
    </row>
    <row r="1877" spans="11:15">
      <c r="K1877" s="1472">
        <v>43934</v>
      </c>
      <c r="L1877" s="1473" t="s">
        <v>2127</v>
      </c>
      <c r="M1877" s="1474">
        <v>1.4227E-2</v>
      </c>
      <c r="N1877" s="1475">
        <v>1.5911293992914319</v>
      </c>
      <c r="O1877" s="1475"/>
    </row>
    <row r="1878" spans="11:15">
      <c r="K1878" s="1472">
        <v>43935</v>
      </c>
      <c r="L1878" s="1473" t="s">
        <v>2127</v>
      </c>
      <c r="M1878" s="1474">
        <v>1.4227E-2</v>
      </c>
      <c r="N1878" s="1475">
        <v>1.5913557692710691</v>
      </c>
      <c r="O1878" s="1475"/>
    </row>
    <row r="1879" spans="11:15">
      <c r="K1879" s="1472">
        <v>43936</v>
      </c>
      <c r="L1879" s="1473" t="s">
        <v>2127</v>
      </c>
      <c r="M1879" s="1474">
        <v>1.4227E-2</v>
      </c>
      <c r="N1879" s="1475">
        <v>1.5915821714563634</v>
      </c>
      <c r="O1879" s="1475"/>
    </row>
    <row r="1880" spans="11:15">
      <c r="K1880" s="1472">
        <v>43937</v>
      </c>
      <c r="L1880" s="1473" t="s">
        <v>2127</v>
      </c>
      <c r="M1880" s="1474">
        <v>1.4227E-2</v>
      </c>
      <c r="N1880" s="1475">
        <v>1.5918086058518965</v>
      </c>
      <c r="O1880" s="1475"/>
    </row>
    <row r="1881" spans="11:15">
      <c r="K1881" s="1472">
        <v>43938</v>
      </c>
      <c r="L1881" s="1473" t="s">
        <v>2127</v>
      </c>
      <c r="M1881" s="1474">
        <v>1.4227E-2</v>
      </c>
      <c r="N1881" s="1475">
        <v>1.5920350724622512</v>
      </c>
      <c r="O1881" s="1475"/>
    </row>
    <row r="1882" spans="11:15">
      <c r="K1882" s="1472">
        <v>43939</v>
      </c>
      <c r="L1882" s="1473"/>
      <c r="M1882" s="1474">
        <v>0</v>
      </c>
      <c r="N1882" s="1475">
        <v>1.5920350724622512</v>
      </c>
      <c r="O1882" s="1475"/>
    </row>
    <row r="1883" spans="11:15">
      <c r="K1883" s="1472">
        <v>43940</v>
      </c>
      <c r="L1883" s="1473"/>
      <c r="M1883" s="1474">
        <v>0</v>
      </c>
      <c r="N1883" s="1475">
        <v>1.5920350724622512</v>
      </c>
      <c r="O1883" s="1475"/>
    </row>
    <row r="1884" spans="11:15">
      <c r="K1884" s="1472">
        <v>43941</v>
      </c>
      <c r="L1884" s="1473" t="s">
        <v>2127</v>
      </c>
      <c r="M1884" s="1474">
        <v>1.4227E-2</v>
      </c>
      <c r="N1884" s="1475">
        <v>1.5922615712920103</v>
      </c>
      <c r="O1884" s="1475"/>
    </row>
    <row r="1885" spans="11:15">
      <c r="K1885" s="1472">
        <v>43942</v>
      </c>
      <c r="L1885" s="1473"/>
      <c r="M1885" s="1474">
        <v>0</v>
      </c>
      <c r="N1885" s="1475">
        <v>1.5922615712920103</v>
      </c>
      <c r="O1885" s="1475"/>
    </row>
    <row r="1886" spans="11:15">
      <c r="K1886" s="1472">
        <v>43943</v>
      </c>
      <c r="L1886" s="1473" t="s">
        <v>2127</v>
      </c>
      <c r="M1886" s="1474">
        <v>1.4227E-2</v>
      </c>
      <c r="N1886" s="1475">
        <v>1.592488102345758</v>
      </c>
      <c r="O1886" s="1475"/>
    </row>
    <row r="1887" spans="11:15">
      <c r="K1887" s="1472">
        <v>43944</v>
      </c>
      <c r="L1887" s="1473" t="s">
        <v>2127</v>
      </c>
      <c r="M1887" s="1474">
        <v>1.4227E-2</v>
      </c>
      <c r="N1887" s="1475">
        <v>1.5927146656280786</v>
      </c>
      <c r="O1887" s="1475"/>
    </row>
    <row r="1888" spans="11:15">
      <c r="K1888" s="1472">
        <v>43945</v>
      </c>
      <c r="L1888" s="1473" t="s">
        <v>2127</v>
      </c>
      <c r="M1888" s="1474">
        <v>1.4227E-2</v>
      </c>
      <c r="N1888" s="1475">
        <v>1.5929412611435576</v>
      </c>
      <c r="O1888" s="1475"/>
    </row>
    <row r="1889" spans="11:15">
      <c r="K1889" s="1472">
        <v>43946</v>
      </c>
      <c r="L1889" s="1473"/>
      <c r="M1889" s="1474">
        <v>0</v>
      </c>
      <c r="N1889" s="1475">
        <v>1.5929412611435576</v>
      </c>
      <c r="O1889" s="1475"/>
    </row>
    <row r="1890" spans="11:15">
      <c r="K1890" s="1472">
        <v>43947</v>
      </c>
      <c r="L1890" s="1473"/>
      <c r="M1890" s="1474">
        <v>0</v>
      </c>
      <c r="N1890" s="1475">
        <v>1.5929412611435576</v>
      </c>
      <c r="O1890" s="1475"/>
    </row>
    <row r="1891" spans="11:15">
      <c r="K1891" s="1472">
        <v>43948</v>
      </c>
      <c r="L1891" s="1473" t="s">
        <v>2127</v>
      </c>
      <c r="M1891" s="1474">
        <v>1.4227E-2</v>
      </c>
      <c r="N1891" s="1475">
        <v>1.5931678888967804</v>
      </c>
      <c r="O1891" s="1475"/>
    </row>
    <row r="1892" spans="11:15">
      <c r="K1892" s="1472">
        <v>43949</v>
      </c>
      <c r="L1892" s="1473" t="s">
        <v>2127</v>
      </c>
      <c r="M1892" s="1474">
        <v>1.4227E-2</v>
      </c>
      <c r="N1892" s="1475">
        <v>1.5933945488923338</v>
      </c>
      <c r="O1892" s="1475"/>
    </row>
    <row r="1893" spans="11:15">
      <c r="K1893" s="1472">
        <v>43950</v>
      </c>
      <c r="L1893" s="1473" t="s">
        <v>2127</v>
      </c>
      <c r="M1893" s="1474">
        <v>1.4227E-2</v>
      </c>
      <c r="N1893" s="1475">
        <v>1.5936212411348047</v>
      </c>
      <c r="O1893" s="1475"/>
    </row>
    <row r="1894" spans="11:15">
      <c r="K1894" s="1472">
        <v>43951</v>
      </c>
      <c r="L1894" s="1473" t="s">
        <v>2127</v>
      </c>
      <c r="M1894" s="1474">
        <v>1.4227E-2</v>
      </c>
      <c r="N1894" s="1475">
        <v>1.5938479656287809</v>
      </c>
      <c r="O1894" s="1475"/>
    </row>
    <row r="1895" spans="11:15">
      <c r="K1895" s="1472">
        <v>43952</v>
      </c>
      <c r="L1895" s="1473"/>
      <c r="M1895" s="1474">
        <v>0</v>
      </c>
      <c r="N1895" s="1475">
        <v>1.5938479656287809</v>
      </c>
      <c r="O1895" s="1475"/>
    </row>
    <row r="1896" spans="11:15">
      <c r="K1896" s="1472">
        <v>43953</v>
      </c>
      <c r="L1896" s="1473"/>
      <c r="M1896" s="1474">
        <v>0</v>
      </c>
      <c r="N1896" s="1475">
        <v>1.5938479656287809</v>
      </c>
      <c r="O1896" s="1475"/>
    </row>
    <row r="1897" spans="11:15">
      <c r="K1897" s="1472">
        <v>43954</v>
      </c>
      <c r="L1897" s="1473"/>
      <c r="M1897" s="1474">
        <v>0</v>
      </c>
      <c r="N1897" s="1475">
        <v>1.5938479656287809</v>
      </c>
      <c r="O1897" s="1475"/>
    </row>
    <row r="1898" spans="11:15">
      <c r="K1898" s="1472">
        <v>43955</v>
      </c>
      <c r="L1898" s="1473" t="s">
        <v>2127</v>
      </c>
      <c r="M1898" s="1474">
        <v>1.4227E-2</v>
      </c>
      <c r="N1898" s="1475">
        <v>1.594074722378851</v>
      </c>
      <c r="O1898" s="1475"/>
    </row>
    <row r="1899" spans="11:15">
      <c r="K1899" s="1472">
        <v>43956</v>
      </c>
      <c r="L1899" s="1473" t="s">
        <v>2127</v>
      </c>
      <c r="M1899" s="1474">
        <v>1.4227E-2</v>
      </c>
      <c r="N1899" s="1475">
        <v>1.5943015113896037</v>
      </c>
      <c r="O1899" s="1475"/>
    </row>
    <row r="1900" spans="11:15">
      <c r="K1900" s="1472">
        <v>43957</v>
      </c>
      <c r="L1900" s="1473" t="s">
        <v>2127</v>
      </c>
      <c r="M1900" s="1474">
        <v>1.4227E-2</v>
      </c>
      <c r="N1900" s="1475">
        <v>1.5945283326656292</v>
      </c>
      <c r="O1900" s="1475"/>
    </row>
    <row r="1901" spans="11:15">
      <c r="K1901" s="1472">
        <v>43958</v>
      </c>
      <c r="L1901" s="1473" t="s">
        <v>2127</v>
      </c>
      <c r="M1901" s="1474">
        <v>1.1344999999999999E-2</v>
      </c>
      <c r="N1901" s="1475">
        <v>1.59470923190497</v>
      </c>
      <c r="O1901" s="1475"/>
    </row>
    <row r="1902" spans="11:15">
      <c r="K1902" s="1472">
        <v>43959</v>
      </c>
      <c r="L1902" s="1473" t="s">
        <v>2127</v>
      </c>
      <c r="M1902" s="1474">
        <v>1.1344999999999999E-2</v>
      </c>
      <c r="N1902" s="1475">
        <v>1.5948901516673295</v>
      </c>
      <c r="O1902" s="1475"/>
    </row>
    <row r="1903" spans="11:15">
      <c r="K1903" s="1472">
        <v>43960</v>
      </c>
      <c r="L1903" s="1473"/>
      <c r="M1903" s="1474">
        <v>0</v>
      </c>
      <c r="N1903" s="1475">
        <v>1.5948901516673295</v>
      </c>
      <c r="O1903" s="1475"/>
    </row>
    <row r="1904" spans="11:15">
      <c r="K1904" s="1472">
        <v>43961</v>
      </c>
      <c r="L1904" s="1473"/>
      <c r="M1904" s="1474">
        <v>0</v>
      </c>
      <c r="N1904" s="1475">
        <v>1.5948901516673295</v>
      </c>
      <c r="O1904" s="1475"/>
    </row>
    <row r="1905" spans="11:15">
      <c r="K1905" s="1472">
        <v>43962</v>
      </c>
      <c r="L1905" s="1473" t="s">
        <v>2127</v>
      </c>
      <c r="M1905" s="1474">
        <v>1.1344999999999999E-2</v>
      </c>
      <c r="N1905" s="1475">
        <v>1.5950710919550362</v>
      </c>
      <c r="O1905" s="1475"/>
    </row>
    <row r="1906" spans="11:15">
      <c r="K1906" s="1472">
        <v>43963</v>
      </c>
      <c r="L1906" s="1473" t="s">
        <v>2127</v>
      </c>
      <c r="M1906" s="1474">
        <v>1.1344999999999999E-2</v>
      </c>
      <c r="N1906" s="1475">
        <v>1.5952520527704184</v>
      </c>
      <c r="O1906" s="1475"/>
    </row>
    <row r="1907" spans="11:15">
      <c r="K1907" s="1472">
        <v>43964</v>
      </c>
      <c r="L1907" s="1473" t="s">
        <v>2127</v>
      </c>
      <c r="M1907" s="1474">
        <v>1.1344999999999999E-2</v>
      </c>
      <c r="N1907" s="1475">
        <v>1.5954330341158052</v>
      </c>
      <c r="O1907" s="1475"/>
    </row>
    <row r="1908" spans="11:15">
      <c r="K1908" s="1472">
        <v>43965</v>
      </c>
      <c r="L1908" s="1473" t="s">
        <v>2127</v>
      </c>
      <c r="M1908" s="1474">
        <v>1.1344999999999999E-2</v>
      </c>
      <c r="N1908" s="1475">
        <v>1.5956140359935256</v>
      </c>
      <c r="O1908" s="1475"/>
    </row>
    <row r="1909" spans="11:15">
      <c r="K1909" s="1472">
        <v>43966</v>
      </c>
      <c r="L1909" s="1473" t="s">
        <v>2127</v>
      </c>
      <c r="M1909" s="1474">
        <v>1.1344999999999999E-2</v>
      </c>
      <c r="N1909" s="1475">
        <v>1.5957950584059091</v>
      </c>
      <c r="O1909" s="1475"/>
    </row>
    <row r="1910" spans="11:15">
      <c r="K1910" s="1472">
        <v>43967</v>
      </c>
      <c r="L1910" s="1473"/>
      <c r="M1910" s="1474">
        <v>0</v>
      </c>
      <c r="N1910" s="1475">
        <v>1.5957950584059091</v>
      </c>
      <c r="O1910" s="1475"/>
    </row>
    <row r="1911" spans="11:15">
      <c r="K1911" s="1472">
        <v>43968</v>
      </c>
      <c r="L1911" s="1473"/>
      <c r="M1911" s="1474">
        <v>0</v>
      </c>
      <c r="N1911" s="1475">
        <v>1.5957950584059091</v>
      </c>
      <c r="O1911" s="1475"/>
    </row>
    <row r="1912" spans="11:15">
      <c r="K1912" s="1472">
        <v>43969</v>
      </c>
      <c r="L1912" s="1473" t="s">
        <v>2127</v>
      </c>
      <c r="M1912" s="1474">
        <v>1.1344999999999999E-2</v>
      </c>
      <c r="N1912" s="1475">
        <v>1.5959761013552851</v>
      </c>
      <c r="O1912" s="1475"/>
    </row>
    <row r="1913" spans="11:15">
      <c r="K1913" s="1472">
        <v>43970</v>
      </c>
      <c r="L1913" s="1473" t="s">
        <v>2127</v>
      </c>
      <c r="M1913" s="1474">
        <v>1.1344999999999999E-2</v>
      </c>
      <c r="N1913" s="1475">
        <v>1.5961571648439838</v>
      </c>
      <c r="O1913" s="1475"/>
    </row>
    <row r="1914" spans="11:15">
      <c r="K1914" s="1472">
        <v>43971</v>
      </c>
      <c r="L1914" s="1473" t="s">
        <v>2127</v>
      </c>
      <c r="M1914" s="1474">
        <v>1.1344999999999999E-2</v>
      </c>
      <c r="N1914" s="1475">
        <v>1.5963382488743354</v>
      </c>
      <c r="O1914" s="1475"/>
    </row>
    <row r="1915" spans="11:15">
      <c r="K1915" s="1472">
        <v>43972</v>
      </c>
      <c r="L1915" s="1473" t="s">
        <v>2127</v>
      </c>
      <c r="M1915" s="1474">
        <v>1.1344999999999999E-2</v>
      </c>
      <c r="N1915" s="1475">
        <v>1.5965193534486701</v>
      </c>
      <c r="O1915" s="1475"/>
    </row>
    <row r="1916" spans="11:15">
      <c r="K1916" s="1472">
        <v>43973</v>
      </c>
      <c r="L1916" s="1473" t="s">
        <v>2127</v>
      </c>
      <c r="M1916" s="1474">
        <v>1.1344999999999999E-2</v>
      </c>
      <c r="N1916" s="1475">
        <v>1.5967004785693188</v>
      </c>
      <c r="O1916" s="1475"/>
    </row>
    <row r="1917" spans="11:15">
      <c r="K1917" s="1472">
        <v>43974</v>
      </c>
      <c r="L1917" s="1473"/>
      <c r="M1917" s="1474">
        <v>0</v>
      </c>
      <c r="N1917" s="1475">
        <v>1.5967004785693188</v>
      </c>
      <c r="O1917" s="1475"/>
    </row>
    <row r="1918" spans="11:15">
      <c r="K1918" s="1472">
        <v>43975</v>
      </c>
      <c r="L1918" s="1473"/>
      <c r="M1918" s="1474">
        <v>0</v>
      </c>
      <c r="N1918" s="1475">
        <v>1.5967004785693188</v>
      </c>
      <c r="O1918" s="1475"/>
    </row>
    <row r="1919" spans="11:15">
      <c r="K1919" s="1472">
        <v>43976</v>
      </c>
      <c r="L1919" s="1473" t="s">
        <v>2127</v>
      </c>
      <c r="M1919" s="1474">
        <v>1.1344999999999999E-2</v>
      </c>
      <c r="N1919" s="1475">
        <v>1.5968816242386126</v>
      </c>
      <c r="O1919" s="1475"/>
    </row>
    <row r="1920" spans="11:15">
      <c r="K1920" s="1472">
        <v>43977</v>
      </c>
      <c r="L1920" s="1473" t="s">
        <v>2127</v>
      </c>
      <c r="M1920" s="1474">
        <v>1.1344999999999999E-2</v>
      </c>
      <c r="N1920" s="1475">
        <v>1.5970627904588823</v>
      </c>
      <c r="O1920" s="1475"/>
    </row>
    <row r="1921" spans="11:15">
      <c r="K1921" s="1472">
        <v>43978</v>
      </c>
      <c r="L1921" s="1473" t="s">
        <v>2127</v>
      </c>
      <c r="M1921" s="1474">
        <v>1.1344999999999999E-2</v>
      </c>
      <c r="N1921" s="1475">
        <v>1.5972439772324598</v>
      </c>
      <c r="O1921" s="1475"/>
    </row>
    <row r="1922" spans="11:15">
      <c r="K1922" s="1472">
        <v>43979</v>
      </c>
      <c r="L1922" s="1473" t="s">
        <v>2127</v>
      </c>
      <c r="M1922" s="1474">
        <v>1.1344999999999999E-2</v>
      </c>
      <c r="N1922" s="1475">
        <v>1.5974251845616767</v>
      </c>
      <c r="O1922" s="1475"/>
    </row>
    <row r="1923" spans="11:15">
      <c r="K1923" s="1472">
        <v>43980</v>
      </c>
      <c r="L1923" s="1473" t="s">
        <v>2127</v>
      </c>
      <c r="M1923" s="1474">
        <v>1.1344999999999999E-2</v>
      </c>
      <c r="N1923" s="1475">
        <v>1.5976064124488651</v>
      </c>
      <c r="O1923" s="1475"/>
    </row>
    <row r="1924" spans="11:15">
      <c r="K1924" s="1472">
        <v>43981</v>
      </c>
      <c r="L1924" s="1473"/>
      <c r="M1924" s="1474">
        <v>0</v>
      </c>
      <c r="N1924" s="1475">
        <v>1.5976064124488651</v>
      </c>
      <c r="O1924" s="1475"/>
    </row>
    <row r="1925" spans="11:15">
      <c r="K1925" s="1472">
        <v>43982</v>
      </c>
      <c r="L1925" s="1473"/>
      <c r="M1925" s="1474">
        <v>0</v>
      </c>
      <c r="N1925" s="1475">
        <v>1.5976064124488651</v>
      </c>
      <c r="O1925" s="1475"/>
    </row>
    <row r="1926" spans="11:15">
      <c r="K1926" s="1472">
        <v>43983</v>
      </c>
      <c r="L1926" s="1473" t="s">
        <v>2127</v>
      </c>
      <c r="M1926" s="1474">
        <v>1.1344999999999999E-2</v>
      </c>
      <c r="N1926" s="1475">
        <v>1.5977876608963575</v>
      </c>
      <c r="O1926" s="1475"/>
    </row>
    <row r="1927" spans="11:15">
      <c r="K1927" s="1472">
        <v>43984</v>
      </c>
      <c r="L1927" s="1473" t="s">
        <v>2127</v>
      </c>
      <c r="M1927" s="1474">
        <v>1.1344999999999999E-2</v>
      </c>
      <c r="N1927" s="1475">
        <v>1.5979689299064861</v>
      </c>
      <c r="O1927" s="1475"/>
    </row>
    <row r="1928" spans="11:15">
      <c r="K1928" s="1472">
        <v>43985</v>
      </c>
      <c r="L1928" s="1473" t="s">
        <v>2127</v>
      </c>
      <c r="M1928" s="1474">
        <v>1.1344999999999999E-2</v>
      </c>
      <c r="N1928" s="1475">
        <v>1.598150219481584</v>
      </c>
      <c r="O1928" s="1475"/>
    </row>
    <row r="1929" spans="11:15">
      <c r="K1929" s="1472">
        <v>43986</v>
      </c>
      <c r="L1929" s="1473" t="s">
        <v>2127</v>
      </c>
      <c r="M1929" s="1474">
        <v>1.1344999999999999E-2</v>
      </c>
      <c r="N1929" s="1475">
        <v>1.5983315296239842</v>
      </c>
      <c r="O1929" s="1475"/>
    </row>
    <row r="1930" spans="11:15">
      <c r="K1930" s="1472">
        <v>43987</v>
      </c>
      <c r="L1930" s="1473" t="s">
        <v>2127</v>
      </c>
      <c r="M1930" s="1474">
        <v>1.1344999999999999E-2</v>
      </c>
      <c r="N1930" s="1475">
        <v>1.5985128603360199</v>
      </c>
      <c r="O1930" s="1475"/>
    </row>
    <row r="1931" spans="11:15">
      <c r="K1931" s="1472">
        <v>43988</v>
      </c>
      <c r="L1931" s="1473"/>
      <c r="M1931" s="1474">
        <v>0</v>
      </c>
      <c r="N1931" s="1475">
        <v>1.5985128603360199</v>
      </c>
      <c r="O1931" s="1475"/>
    </row>
    <row r="1932" spans="11:15">
      <c r="K1932" s="1472">
        <v>43989</v>
      </c>
      <c r="L1932" s="1473"/>
      <c r="M1932" s="1474">
        <v>0</v>
      </c>
      <c r="N1932" s="1475">
        <v>1.5985128603360199</v>
      </c>
      <c r="O1932" s="1475"/>
    </row>
    <row r="1933" spans="11:15">
      <c r="K1933" s="1472">
        <v>43990</v>
      </c>
      <c r="L1933" s="1473" t="s">
        <v>2127</v>
      </c>
      <c r="M1933" s="1474">
        <v>1.1344999999999999E-2</v>
      </c>
      <c r="N1933" s="1475">
        <v>1.5986942116200249</v>
      </c>
      <c r="O1933" s="1475"/>
    </row>
    <row r="1934" spans="11:15">
      <c r="K1934" s="1472">
        <v>43991</v>
      </c>
      <c r="L1934" s="1473" t="s">
        <v>2127</v>
      </c>
      <c r="M1934" s="1474">
        <v>1.1344999999999999E-2</v>
      </c>
      <c r="N1934" s="1475">
        <v>1.598875583478333</v>
      </c>
      <c r="O1934" s="1475"/>
    </row>
    <row r="1935" spans="11:15">
      <c r="K1935" s="1472">
        <v>43992</v>
      </c>
      <c r="L1935" s="1473" t="s">
        <v>2127</v>
      </c>
      <c r="M1935" s="1474">
        <v>1.1344999999999999E-2</v>
      </c>
      <c r="N1935" s="1475">
        <v>1.5990569759132787</v>
      </c>
      <c r="O1935" s="1475"/>
    </row>
    <row r="1936" spans="11:15">
      <c r="K1936" s="1472">
        <v>43993</v>
      </c>
      <c r="L1936" s="1473"/>
      <c r="M1936" s="1474">
        <v>0</v>
      </c>
      <c r="N1936" s="1475">
        <v>1.5990569759132787</v>
      </c>
      <c r="O1936" s="1475"/>
    </row>
    <row r="1937" spans="11:15">
      <c r="K1937" s="1472">
        <v>43994</v>
      </c>
      <c r="L1937" s="1473" t="s">
        <v>2127</v>
      </c>
      <c r="M1937" s="1474">
        <v>1.1344999999999999E-2</v>
      </c>
      <c r="N1937" s="1475">
        <v>1.5992383889271959</v>
      </c>
      <c r="O1937" s="1475"/>
    </row>
    <row r="1938" spans="11:15">
      <c r="K1938" s="1472">
        <v>43995</v>
      </c>
      <c r="L1938" s="1473"/>
      <c r="M1938" s="1474">
        <v>0</v>
      </c>
      <c r="N1938" s="1475">
        <v>1.5992383889271959</v>
      </c>
      <c r="O1938" s="1475"/>
    </row>
    <row r="1939" spans="11:15">
      <c r="K1939" s="1472">
        <v>43996</v>
      </c>
      <c r="L1939" s="1473"/>
      <c r="M1939" s="1474">
        <v>0</v>
      </c>
      <c r="N1939" s="1475">
        <v>1.5992383889271959</v>
      </c>
      <c r="O1939" s="1475"/>
    </row>
    <row r="1940" spans="11:15">
      <c r="K1940" s="1472">
        <v>43997</v>
      </c>
      <c r="L1940" s="1473" t="s">
        <v>2127</v>
      </c>
      <c r="M1940" s="1474">
        <v>1.1344999999999999E-2</v>
      </c>
      <c r="N1940" s="1475">
        <v>1.5994198225224197</v>
      </c>
      <c r="O1940" s="1475"/>
    </row>
    <row r="1941" spans="11:15">
      <c r="K1941" s="1472">
        <v>43998</v>
      </c>
      <c r="L1941" s="1473" t="s">
        <v>2127</v>
      </c>
      <c r="M1941" s="1474">
        <v>1.1344999999999999E-2</v>
      </c>
      <c r="N1941" s="1475">
        <v>1.5996012767012848</v>
      </c>
      <c r="O1941" s="1475"/>
    </row>
    <row r="1942" spans="11:15">
      <c r="K1942" s="1472">
        <v>43999</v>
      </c>
      <c r="L1942" s="1473" t="s">
        <v>2127</v>
      </c>
      <c r="M1942" s="1474">
        <v>1.1344999999999999E-2</v>
      </c>
      <c r="N1942" s="1475">
        <v>1.5997827514661265</v>
      </c>
      <c r="O1942" s="1475"/>
    </row>
    <row r="1943" spans="11:15">
      <c r="K1943" s="1472">
        <v>44000</v>
      </c>
      <c r="L1943" s="1473" t="s">
        <v>2127</v>
      </c>
      <c r="M1943" s="1474">
        <v>8.4419999999999999E-3</v>
      </c>
      <c r="N1943" s="1475">
        <v>1.5999178051260055</v>
      </c>
      <c r="O1943" s="1475"/>
    </row>
    <row r="1944" spans="11:15">
      <c r="K1944" s="1472">
        <v>44001</v>
      </c>
      <c r="L1944" s="1473" t="s">
        <v>2127</v>
      </c>
      <c r="M1944" s="1474">
        <v>8.4419999999999999E-3</v>
      </c>
      <c r="N1944" s="1475">
        <v>1.6000528701871144</v>
      </c>
      <c r="O1944" s="1475"/>
    </row>
    <row r="1945" spans="11:15">
      <c r="K1945" s="1472">
        <v>44002</v>
      </c>
      <c r="L1945" s="1473"/>
      <c r="M1945" s="1474">
        <v>0</v>
      </c>
      <c r="N1945" s="1475">
        <v>1.6000528701871144</v>
      </c>
      <c r="O1945" s="1475"/>
    </row>
    <row r="1946" spans="11:15">
      <c r="K1946" s="1472">
        <v>44003</v>
      </c>
      <c r="L1946" s="1473"/>
      <c r="M1946" s="1474">
        <v>0</v>
      </c>
      <c r="N1946" s="1475">
        <v>1.6000528701871144</v>
      </c>
      <c r="O1946" s="1475"/>
    </row>
    <row r="1947" spans="11:15">
      <c r="K1947" s="1472">
        <v>44004</v>
      </c>
      <c r="L1947" s="1473" t="s">
        <v>2127</v>
      </c>
      <c r="M1947" s="1474">
        <v>8.4419999999999999E-3</v>
      </c>
      <c r="N1947" s="1475">
        <v>1.6001879466504156</v>
      </c>
      <c r="O1947" s="1475"/>
    </row>
    <row r="1948" spans="11:15">
      <c r="K1948" s="1472">
        <v>44005</v>
      </c>
      <c r="L1948" s="1473" t="s">
        <v>2127</v>
      </c>
      <c r="M1948" s="1474">
        <v>8.4419999999999999E-3</v>
      </c>
      <c r="N1948" s="1475">
        <v>1.600323034516872</v>
      </c>
      <c r="O1948" s="1475"/>
    </row>
    <row r="1949" spans="11:15">
      <c r="K1949" s="1472">
        <v>44006</v>
      </c>
      <c r="L1949" s="1473" t="s">
        <v>2127</v>
      </c>
      <c r="M1949" s="1474">
        <v>8.4419999999999999E-3</v>
      </c>
      <c r="N1949" s="1475">
        <v>1.6004581337874459</v>
      </c>
      <c r="O1949" s="1475"/>
    </row>
    <row r="1950" spans="11:15">
      <c r="K1950" s="1472">
        <v>44007</v>
      </c>
      <c r="L1950" s="1473" t="s">
        <v>2127</v>
      </c>
      <c r="M1950" s="1474">
        <v>8.4419999999999999E-3</v>
      </c>
      <c r="N1950" s="1475">
        <v>1.6005932444631004</v>
      </c>
      <c r="O1950" s="1475"/>
    </row>
    <row r="1951" spans="11:15">
      <c r="K1951" s="1472">
        <v>44008</v>
      </c>
      <c r="L1951" s="1473" t="s">
        <v>2127</v>
      </c>
      <c r="M1951" s="1474">
        <v>8.4419999999999999E-3</v>
      </c>
      <c r="N1951" s="1475">
        <v>1.600728366544798</v>
      </c>
      <c r="O1951" s="1475"/>
    </row>
    <row r="1952" spans="11:15">
      <c r="K1952" s="1472">
        <v>44009</v>
      </c>
      <c r="L1952" s="1473"/>
      <c r="M1952" s="1474">
        <v>0</v>
      </c>
      <c r="N1952" s="1475">
        <v>1.600728366544798</v>
      </c>
      <c r="O1952" s="1475"/>
    </row>
    <row r="1953" spans="11:15">
      <c r="K1953" s="1472">
        <v>44010</v>
      </c>
      <c r="L1953" s="1473"/>
      <c r="M1953" s="1474">
        <v>0</v>
      </c>
      <c r="N1953" s="1475">
        <v>1.600728366544798</v>
      </c>
      <c r="O1953" s="1475"/>
    </row>
    <row r="1954" spans="11:15">
      <c r="K1954" s="1472">
        <v>44011</v>
      </c>
      <c r="L1954" s="1473" t="s">
        <v>2127</v>
      </c>
      <c r="M1954" s="1474">
        <v>8.4419999999999999E-3</v>
      </c>
      <c r="N1954" s="1475">
        <v>1.6008635000335019</v>
      </c>
      <c r="O1954" s="1475"/>
    </row>
    <row r="1955" spans="11:15">
      <c r="K1955" s="1472">
        <v>44012</v>
      </c>
      <c r="L1955" s="1473" t="s">
        <v>2127</v>
      </c>
      <c r="M1955" s="1474">
        <v>8.4419999999999999E-3</v>
      </c>
      <c r="N1955" s="1475">
        <v>1.6009986449301747</v>
      </c>
      <c r="O1955" s="1475"/>
    </row>
    <row r="1956" spans="11:15">
      <c r="K1956" s="1472">
        <v>44013</v>
      </c>
      <c r="L1956" s="1473" t="s">
        <v>2127</v>
      </c>
      <c r="M1956" s="1474">
        <v>8.4419999999999999E-3</v>
      </c>
      <c r="N1956" s="1475">
        <v>1.6011338012357799</v>
      </c>
      <c r="O1956" s="1475"/>
    </row>
    <row r="1957" spans="11:15">
      <c r="K1957" s="1472">
        <v>44014</v>
      </c>
      <c r="L1957" s="1473" t="s">
        <v>2127</v>
      </c>
      <c r="M1957" s="1474">
        <v>8.4419999999999999E-3</v>
      </c>
      <c r="N1957" s="1475">
        <v>1.6012689689512802</v>
      </c>
      <c r="O1957" s="1475"/>
    </row>
    <row r="1958" spans="11:15">
      <c r="K1958" s="1472">
        <v>44015</v>
      </c>
      <c r="L1958" s="1473" t="s">
        <v>2127</v>
      </c>
      <c r="M1958" s="1474">
        <v>8.4419999999999999E-3</v>
      </c>
      <c r="N1958" s="1475">
        <v>1.6014041480776393</v>
      </c>
      <c r="O1958" s="1475"/>
    </row>
    <row r="1959" spans="11:15">
      <c r="K1959" s="1472">
        <v>44016</v>
      </c>
      <c r="L1959" s="1473"/>
      <c r="M1959" s="1474">
        <v>0</v>
      </c>
      <c r="N1959" s="1475">
        <v>1.6014041480776393</v>
      </c>
      <c r="O1959" s="1475"/>
    </row>
    <row r="1960" spans="11:15">
      <c r="K1960" s="1472">
        <v>44017</v>
      </c>
      <c r="L1960" s="1473"/>
      <c r="M1960" s="1474">
        <v>0</v>
      </c>
      <c r="N1960" s="1475">
        <v>1.6014041480776393</v>
      </c>
      <c r="O1960" s="1475"/>
    </row>
    <row r="1961" spans="11:15">
      <c r="K1961" s="1472">
        <v>44018</v>
      </c>
      <c r="L1961" s="1473" t="s">
        <v>2127</v>
      </c>
      <c r="M1961" s="1474">
        <v>8.4419999999999999E-3</v>
      </c>
      <c r="N1961" s="1475">
        <v>1.6015393386158201</v>
      </c>
      <c r="O1961" s="1475"/>
    </row>
    <row r="1962" spans="11:15">
      <c r="K1962" s="1472">
        <v>44019</v>
      </c>
      <c r="L1962" s="1473" t="s">
        <v>2127</v>
      </c>
      <c r="M1962" s="1474">
        <v>8.4419999999999999E-3</v>
      </c>
      <c r="N1962" s="1475">
        <v>1.6016745405667863</v>
      </c>
      <c r="O1962" s="1475"/>
    </row>
    <row r="1963" spans="11:15">
      <c r="K1963" s="1472">
        <v>44020</v>
      </c>
      <c r="L1963" s="1473" t="s">
        <v>2127</v>
      </c>
      <c r="M1963" s="1474">
        <v>8.4419999999999999E-3</v>
      </c>
      <c r="N1963" s="1475">
        <v>1.601809753931501</v>
      </c>
      <c r="O1963" s="1475"/>
    </row>
    <row r="1964" spans="11:15">
      <c r="K1964" s="1472">
        <v>44021</v>
      </c>
      <c r="L1964" s="1473" t="s">
        <v>2127</v>
      </c>
      <c r="M1964" s="1474">
        <v>8.4419999999999999E-3</v>
      </c>
      <c r="N1964" s="1475">
        <v>1.6019449787109281</v>
      </c>
      <c r="O1964" s="1475"/>
    </row>
    <row r="1965" spans="11:15">
      <c r="K1965" s="1472">
        <v>44022</v>
      </c>
      <c r="L1965" s="1473" t="s">
        <v>2127</v>
      </c>
      <c r="M1965" s="1474">
        <v>8.4419999999999999E-3</v>
      </c>
      <c r="N1965" s="1475">
        <v>1.6020802149060309</v>
      </c>
      <c r="O1965" s="1475"/>
    </row>
    <row r="1966" spans="11:15">
      <c r="K1966" s="1472">
        <v>44023</v>
      </c>
      <c r="L1966" s="1473"/>
      <c r="M1966" s="1474">
        <v>0</v>
      </c>
      <c r="N1966" s="1475">
        <v>1.6020802149060309</v>
      </c>
      <c r="O1966" s="1475"/>
    </row>
    <row r="1967" spans="11:15">
      <c r="K1967" s="1472">
        <v>44024</v>
      </c>
      <c r="L1967" s="1473"/>
      <c r="M1967" s="1474">
        <v>0</v>
      </c>
      <c r="N1967" s="1475">
        <v>1.6020802149060309</v>
      </c>
      <c r="O1967" s="1475"/>
    </row>
    <row r="1968" spans="11:15">
      <c r="K1968" s="1472">
        <v>44025</v>
      </c>
      <c r="L1968" s="1473" t="s">
        <v>2127</v>
      </c>
      <c r="M1968" s="1474">
        <v>8.4419999999999999E-3</v>
      </c>
      <c r="N1968" s="1475">
        <v>1.6022154625177734</v>
      </c>
      <c r="O1968" s="1475"/>
    </row>
    <row r="1969" spans="11:15">
      <c r="K1969" s="1472">
        <v>44026</v>
      </c>
      <c r="L1969" s="1473" t="s">
        <v>2127</v>
      </c>
      <c r="M1969" s="1474">
        <v>8.4419999999999999E-3</v>
      </c>
      <c r="N1969" s="1475">
        <v>1.6023507215471193</v>
      </c>
      <c r="O1969" s="1475"/>
    </row>
    <row r="1970" spans="11:15">
      <c r="K1970" s="1472">
        <v>44027</v>
      </c>
      <c r="L1970" s="1473" t="s">
        <v>2127</v>
      </c>
      <c r="M1970" s="1474">
        <v>8.4419999999999999E-3</v>
      </c>
      <c r="N1970" s="1475">
        <v>1.6024859919950325</v>
      </c>
      <c r="O1970" s="1475"/>
    </row>
    <row r="1971" spans="11:15">
      <c r="K1971" s="1472">
        <v>44028</v>
      </c>
      <c r="L1971" s="1473" t="s">
        <v>2127</v>
      </c>
      <c r="M1971" s="1474">
        <v>8.4419999999999999E-3</v>
      </c>
      <c r="N1971" s="1475">
        <v>1.6026212738624768</v>
      </c>
      <c r="O1971" s="1475"/>
    </row>
    <row r="1972" spans="11:15">
      <c r="K1972" s="1472">
        <v>44029</v>
      </c>
      <c r="L1972" s="1473" t="s">
        <v>2127</v>
      </c>
      <c r="M1972" s="1474">
        <v>8.4419999999999999E-3</v>
      </c>
      <c r="N1972" s="1475">
        <v>1.6027565671504165</v>
      </c>
      <c r="O1972" s="1475"/>
    </row>
    <row r="1973" spans="11:15">
      <c r="K1973" s="1472">
        <v>44030</v>
      </c>
      <c r="L1973" s="1473"/>
      <c r="M1973" s="1474">
        <v>0</v>
      </c>
      <c r="N1973" s="1475">
        <v>1.6027565671504165</v>
      </c>
      <c r="O1973" s="1475"/>
    </row>
    <row r="1974" spans="11:15">
      <c r="K1974" s="1472">
        <v>44031</v>
      </c>
      <c r="L1974" s="1473"/>
      <c r="M1974" s="1474">
        <v>0</v>
      </c>
      <c r="N1974" s="1475">
        <v>1.6027565671504165</v>
      </c>
      <c r="O1974" s="1475"/>
    </row>
    <row r="1975" spans="11:15">
      <c r="K1975" s="1472">
        <v>44032</v>
      </c>
      <c r="L1975" s="1473" t="s">
        <v>2127</v>
      </c>
      <c r="M1975" s="1474">
        <v>8.4419999999999999E-3</v>
      </c>
      <c r="N1975" s="1475">
        <v>1.6028918718598155</v>
      </c>
      <c r="O1975" s="1475"/>
    </row>
    <row r="1976" spans="11:15">
      <c r="K1976" s="1472">
        <v>44033</v>
      </c>
      <c r="L1976" s="1473" t="s">
        <v>2127</v>
      </c>
      <c r="M1976" s="1474">
        <v>8.4419999999999999E-3</v>
      </c>
      <c r="N1976" s="1475">
        <v>1.603027187991638</v>
      </c>
      <c r="O1976" s="1475"/>
    </row>
    <row r="1977" spans="11:15">
      <c r="K1977" s="1472">
        <v>44034</v>
      </c>
      <c r="L1977" s="1473" t="s">
        <v>2127</v>
      </c>
      <c r="M1977" s="1474">
        <v>8.4419999999999999E-3</v>
      </c>
      <c r="N1977" s="1475">
        <v>1.6031625155468483</v>
      </c>
      <c r="O1977" s="1475"/>
    </row>
    <row r="1978" spans="11:15">
      <c r="K1978" s="1472">
        <v>44035</v>
      </c>
      <c r="L1978" s="1473" t="s">
        <v>2127</v>
      </c>
      <c r="M1978" s="1474">
        <v>8.4419999999999999E-3</v>
      </c>
      <c r="N1978" s="1475">
        <v>1.6032978545264109</v>
      </c>
      <c r="O1978" s="1475"/>
    </row>
    <row r="1979" spans="11:15">
      <c r="K1979" s="1472">
        <v>44036</v>
      </c>
      <c r="L1979" s="1473" t="s">
        <v>2127</v>
      </c>
      <c r="M1979" s="1474">
        <v>8.4419999999999999E-3</v>
      </c>
      <c r="N1979" s="1475">
        <v>1.6034332049312903</v>
      </c>
      <c r="O1979" s="1475"/>
    </row>
    <row r="1980" spans="11:15">
      <c r="K1980" s="1472">
        <v>44037</v>
      </c>
      <c r="L1980" s="1473"/>
      <c r="M1980" s="1474">
        <v>0</v>
      </c>
      <c r="N1980" s="1475">
        <v>1.6034332049312903</v>
      </c>
      <c r="O1980" s="1475"/>
    </row>
    <row r="1981" spans="11:15">
      <c r="K1981" s="1472">
        <v>44038</v>
      </c>
      <c r="L1981" s="1473"/>
      <c r="M1981" s="1474">
        <v>0</v>
      </c>
      <c r="N1981" s="1475">
        <v>1.6034332049312903</v>
      </c>
      <c r="O1981" s="1475"/>
    </row>
    <row r="1982" spans="11:15">
      <c r="K1982" s="1472">
        <v>44039</v>
      </c>
      <c r="L1982" s="1473" t="s">
        <v>2127</v>
      </c>
      <c r="M1982" s="1474">
        <v>8.4419999999999999E-3</v>
      </c>
      <c r="N1982" s="1475">
        <v>1.6035685667624506</v>
      </c>
      <c r="O1982" s="1475"/>
    </row>
    <row r="1983" spans="11:15">
      <c r="K1983" s="1472">
        <v>44040</v>
      </c>
      <c r="L1983" s="1473" t="s">
        <v>2127</v>
      </c>
      <c r="M1983" s="1474">
        <v>8.4419999999999999E-3</v>
      </c>
      <c r="N1983" s="1475">
        <v>1.6037039400208568</v>
      </c>
      <c r="O1983" s="1475"/>
    </row>
    <row r="1984" spans="11:15">
      <c r="K1984" s="1472">
        <v>44041</v>
      </c>
      <c r="L1984" s="1473" t="s">
        <v>2127</v>
      </c>
      <c r="M1984" s="1474">
        <v>8.4419999999999999E-3</v>
      </c>
      <c r="N1984" s="1475">
        <v>1.6038393247074736</v>
      </c>
      <c r="O1984" s="1475"/>
    </row>
    <row r="1985" spans="11:15">
      <c r="K1985" s="1472">
        <v>44042</v>
      </c>
      <c r="L1985" s="1473" t="s">
        <v>2127</v>
      </c>
      <c r="M1985" s="1474">
        <v>8.4419999999999999E-3</v>
      </c>
      <c r="N1985" s="1475">
        <v>1.6039747208232655</v>
      </c>
      <c r="O1985" s="1475"/>
    </row>
    <row r="1986" spans="11:15">
      <c r="K1986" s="1472">
        <v>44043</v>
      </c>
      <c r="L1986" s="1473" t="s">
        <v>2127</v>
      </c>
      <c r="M1986" s="1474">
        <v>8.4419999999999999E-3</v>
      </c>
      <c r="N1986" s="1475">
        <v>1.6041101283691976</v>
      </c>
      <c r="O1986" s="1475"/>
    </row>
    <row r="1987" spans="11:15">
      <c r="K1987" s="1472">
        <v>44044</v>
      </c>
      <c r="L1987" s="1473"/>
      <c r="M1987" s="1474">
        <v>0</v>
      </c>
      <c r="N1987" s="1475">
        <v>1.6041101283691976</v>
      </c>
      <c r="O1987" s="1475"/>
    </row>
    <row r="1988" spans="11:15">
      <c r="K1988" s="1472">
        <v>44045</v>
      </c>
      <c r="L1988" s="1473"/>
      <c r="M1988" s="1474">
        <v>0</v>
      </c>
      <c r="N1988" s="1475">
        <v>1.6041101283691976</v>
      </c>
      <c r="O1988" s="1475"/>
    </row>
    <row r="1989" spans="11:15">
      <c r="K1989" s="1472">
        <v>44046</v>
      </c>
      <c r="L1989" s="1473" t="s">
        <v>2127</v>
      </c>
      <c r="M1989" s="1474">
        <v>8.4419999999999999E-3</v>
      </c>
      <c r="N1989" s="1475">
        <v>1.6042455473462347</v>
      </c>
      <c r="O1989" s="1475"/>
    </row>
    <row r="1990" spans="11:15">
      <c r="K1990" s="1472">
        <v>44047</v>
      </c>
      <c r="L1990" s="1473" t="s">
        <v>2127</v>
      </c>
      <c r="M1990" s="1474">
        <v>8.4419999999999999E-3</v>
      </c>
      <c r="N1990" s="1475">
        <v>1.6043809777553417</v>
      </c>
      <c r="O1990" s="1475"/>
    </row>
    <row r="1991" spans="11:15">
      <c r="K1991" s="1472">
        <v>44048</v>
      </c>
      <c r="L1991" s="1473" t="s">
        <v>2127</v>
      </c>
      <c r="M1991" s="1474">
        <v>8.4419999999999999E-3</v>
      </c>
      <c r="N1991" s="1475">
        <v>1.6045164195974839</v>
      </c>
      <c r="O1991" s="1475"/>
    </row>
    <row r="1992" spans="11:15">
      <c r="K1992" s="1472">
        <v>44049</v>
      </c>
      <c r="L1992" s="1473" t="s">
        <v>2127</v>
      </c>
      <c r="M1992" s="1474">
        <v>7.4689999999999999E-3</v>
      </c>
      <c r="N1992" s="1475">
        <v>1.6046362609288636</v>
      </c>
      <c r="O1992" s="1475"/>
    </row>
    <row r="1993" spans="11:15">
      <c r="K1993" s="1472">
        <v>44050</v>
      </c>
      <c r="L1993" s="1473" t="s">
        <v>2127</v>
      </c>
      <c r="M1993" s="1474">
        <v>7.4689999999999999E-3</v>
      </c>
      <c r="N1993" s="1475">
        <v>1.6047561112111923</v>
      </c>
      <c r="O1993" s="1475"/>
    </row>
    <row r="1994" spans="11:15">
      <c r="K1994" s="1472">
        <v>44051</v>
      </c>
      <c r="L1994" s="1473"/>
      <c r="M1994" s="1474">
        <v>0</v>
      </c>
      <c r="N1994" s="1475">
        <v>1.6047561112111923</v>
      </c>
      <c r="O1994" s="1475"/>
    </row>
    <row r="1995" spans="11:15">
      <c r="K1995" s="1472">
        <v>44052</v>
      </c>
      <c r="L1995" s="1473"/>
      <c r="M1995" s="1474">
        <v>0</v>
      </c>
      <c r="N1995" s="1475">
        <v>1.6047561112111923</v>
      </c>
      <c r="O1995" s="1475"/>
    </row>
    <row r="1996" spans="11:15">
      <c r="K1996" s="1472">
        <v>44053</v>
      </c>
      <c r="L1996" s="1473" t="s">
        <v>2127</v>
      </c>
      <c r="M1996" s="1474">
        <v>7.4689999999999999E-3</v>
      </c>
      <c r="N1996" s="1475">
        <v>1.6048759704451385</v>
      </c>
      <c r="O1996" s="1475"/>
    </row>
    <row r="1997" spans="11:15">
      <c r="K1997" s="1472">
        <v>44054</v>
      </c>
      <c r="L1997" s="1473" t="s">
        <v>2127</v>
      </c>
      <c r="M1997" s="1474">
        <v>7.4689999999999999E-3</v>
      </c>
      <c r="N1997" s="1475">
        <v>1.604995838631371</v>
      </c>
      <c r="O1997" s="1475"/>
    </row>
    <row r="1998" spans="11:15">
      <c r="K1998" s="1472">
        <v>44055</v>
      </c>
      <c r="L1998" s="1473" t="s">
        <v>2127</v>
      </c>
      <c r="M1998" s="1474">
        <v>7.4689999999999999E-3</v>
      </c>
      <c r="N1998" s="1475">
        <v>1.6051157157705582</v>
      </c>
      <c r="O1998" s="1475"/>
    </row>
    <row r="1999" spans="11:15">
      <c r="K1999" s="1472">
        <v>44056</v>
      </c>
      <c r="L1999" s="1473" t="s">
        <v>2127</v>
      </c>
      <c r="M1999" s="1474">
        <v>7.4689999999999999E-3</v>
      </c>
      <c r="N1999" s="1475">
        <v>1.6052356018633691</v>
      </c>
      <c r="O1999" s="1475"/>
    </row>
    <row r="2000" spans="11:15">
      <c r="K2000" s="1472">
        <v>44057</v>
      </c>
      <c r="L2000" s="1473" t="s">
        <v>2127</v>
      </c>
      <c r="M2000" s="1474">
        <v>7.4689999999999999E-3</v>
      </c>
      <c r="N2000" s="1475">
        <v>1.6053554969104722</v>
      </c>
      <c r="O2000" s="1475"/>
    </row>
    <row r="2001" spans="11:15">
      <c r="K2001" s="1472">
        <v>44058</v>
      </c>
      <c r="L2001" s="1473"/>
      <c r="M2001" s="1474">
        <v>0</v>
      </c>
      <c r="N2001" s="1475">
        <v>1.6053554969104722</v>
      </c>
      <c r="O2001" s="1475"/>
    </row>
    <row r="2002" spans="11:15">
      <c r="K2002" s="1472">
        <v>44059</v>
      </c>
      <c r="L2002" s="1473"/>
      <c r="M2002" s="1474">
        <v>0</v>
      </c>
      <c r="N2002" s="1475">
        <v>1.6053554969104722</v>
      </c>
      <c r="O2002" s="1475"/>
    </row>
    <row r="2003" spans="11:15">
      <c r="K2003" s="1472">
        <v>44060</v>
      </c>
      <c r="L2003" s="1473" t="s">
        <v>2127</v>
      </c>
      <c r="M2003" s="1474">
        <v>7.4689999999999999E-3</v>
      </c>
      <c r="N2003" s="1475">
        <v>1.6054754009125363</v>
      </c>
      <c r="O2003" s="1475"/>
    </row>
    <row r="2004" spans="11:15">
      <c r="K2004" s="1472">
        <v>44061</v>
      </c>
      <c r="L2004" s="1473" t="s">
        <v>2127</v>
      </c>
      <c r="M2004" s="1474">
        <v>7.4689999999999999E-3</v>
      </c>
      <c r="N2004" s="1475">
        <v>1.6055953138702304</v>
      </c>
      <c r="O2004" s="1475"/>
    </row>
    <row r="2005" spans="11:15">
      <c r="K2005" s="1472">
        <v>44062</v>
      </c>
      <c r="L2005" s="1473" t="s">
        <v>2127</v>
      </c>
      <c r="M2005" s="1474">
        <v>7.4689999999999999E-3</v>
      </c>
      <c r="N2005" s="1475">
        <v>1.6057152357842233</v>
      </c>
      <c r="O2005" s="1475"/>
    </row>
    <row r="2006" spans="11:15">
      <c r="K2006" s="1472">
        <v>44063</v>
      </c>
      <c r="L2006" s="1473" t="s">
        <v>2127</v>
      </c>
      <c r="M2006" s="1474">
        <v>7.4689999999999999E-3</v>
      </c>
      <c r="N2006" s="1475">
        <v>1.6058351666551838</v>
      </c>
      <c r="O2006" s="1475"/>
    </row>
    <row r="2007" spans="11:15">
      <c r="K2007" s="1472">
        <v>44064</v>
      </c>
      <c r="L2007" s="1473" t="s">
        <v>2127</v>
      </c>
      <c r="M2007" s="1474">
        <v>7.4689999999999999E-3</v>
      </c>
      <c r="N2007" s="1475">
        <v>1.6059551064837811</v>
      </c>
      <c r="O2007" s="1475"/>
    </row>
    <row r="2008" spans="11:15">
      <c r="K2008" s="1472">
        <v>44065</v>
      </c>
      <c r="L2008" s="1473"/>
      <c r="M2008" s="1474">
        <v>0</v>
      </c>
      <c r="N2008" s="1475">
        <v>1.6059551064837811</v>
      </c>
      <c r="O2008" s="1475"/>
    </row>
    <row r="2009" spans="11:15">
      <c r="K2009" s="1472">
        <v>44066</v>
      </c>
      <c r="L2009" s="1473"/>
      <c r="M2009" s="1474">
        <v>0</v>
      </c>
      <c r="N2009" s="1475">
        <v>1.6059551064837811</v>
      </c>
      <c r="O2009" s="1475"/>
    </row>
    <row r="2010" spans="11:15">
      <c r="K2010" s="1472">
        <v>44067</v>
      </c>
      <c r="L2010" s="1473" t="s">
        <v>2127</v>
      </c>
      <c r="M2010" s="1474">
        <v>7.4689999999999999E-3</v>
      </c>
      <c r="N2010" s="1475">
        <v>1.6060750552706844</v>
      </c>
      <c r="O2010" s="1475"/>
    </row>
    <row r="2011" spans="11:15">
      <c r="K2011" s="1472">
        <v>44068</v>
      </c>
      <c r="L2011" s="1473" t="s">
        <v>2127</v>
      </c>
      <c r="M2011" s="1474">
        <v>7.4689999999999999E-3</v>
      </c>
      <c r="N2011" s="1475">
        <v>1.6061950130165625</v>
      </c>
      <c r="O2011" s="1475"/>
    </row>
    <row r="2012" spans="11:15">
      <c r="K2012" s="1472">
        <v>44069</v>
      </c>
      <c r="L2012" s="1473" t="s">
        <v>2127</v>
      </c>
      <c r="M2012" s="1474">
        <v>7.4689999999999999E-3</v>
      </c>
      <c r="N2012" s="1475">
        <v>1.6063149797220846</v>
      </c>
      <c r="O2012" s="1475"/>
    </row>
    <row r="2013" spans="11:15">
      <c r="K2013" s="1472">
        <v>44070</v>
      </c>
      <c r="L2013" s="1473" t="s">
        <v>2127</v>
      </c>
      <c r="M2013" s="1474">
        <v>7.4689999999999999E-3</v>
      </c>
      <c r="N2013" s="1475">
        <v>1.60643495538792</v>
      </c>
      <c r="O2013" s="1475"/>
    </row>
    <row r="2014" spans="11:15">
      <c r="K2014" s="1472">
        <v>44071</v>
      </c>
      <c r="L2014" s="1473" t="s">
        <v>2127</v>
      </c>
      <c r="M2014" s="1474">
        <v>7.4689999999999999E-3</v>
      </c>
      <c r="N2014" s="1475">
        <v>1.6065549400147379</v>
      </c>
      <c r="O2014" s="1475"/>
    </row>
    <row r="2015" spans="11:15">
      <c r="K2015" s="1472">
        <v>44072</v>
      </c>
      <c r="L2015" s="1473"/>
      <c r="M2015" s="1474">
        <v>0</v>
      </c>
      <c r="N2015" s="1475">
        <v>1.6065549400147379</v>
      </c>
      <c r="O2015" s="1475"/>
    </row>
    <row r="2016" spans="11:15">
      <c r="K2016" s="1472">
        <v>44073</v>
      </c>
      <c r="L2016" s="1473"/>
      <c r="M2016" s="1474">
        <v>0</v>
      </c>
      <c r="N2016" s="1475">
        <v>1.6065549400147379</v>
      </c>
      <c r="O2016" s="1475"/>
    </row>
    <row r="2017" spans="11:15">
      <c r="K2017" s="1472">
        <v>44074</v>
      </c>
      <c r="L2017" s="1473" t="s">
        <v>2127</v>
      </c>
      <c r="M2017" s="1474">
        <v>7.4689999999999999E-3</v>
      </c>
      <c r="N2017" s="1475">
        <v>1.6066749336032076</v>
      </c>
      <c r="O2017" s="1475"/>
    </row>
    <row r="2018" spans="11:15">
      <c r="K2018" s="1472">
        <v>44075</v>
      </c>
      <c r="L2018" s="1473" t="s">
        <v>2127</v>
      </c>
      <c r="M2018" s="1474">
        <v>7.4689999999999999E-3</v>
      </c>
      <c r="N2018" s="1475">
        <v>1.6067949361539984</v>
      </c>
      <c r="O2018" s="1475"/>
    </row>
    <row r="2019" spans="11:15">
      <c r="K2019" s="1472">
        <v>44076</v>
      </c>
      <c r="L2019" s="1473" t="s">
        <v>2127</v>
      </c>
      <c r="M2019" s="1474">
        <v>7.4689999999999999E-3</v>
      </c>
      <c r="N2019" s="1475">
        <v>1.6069149476677795</v>
      </c>
      <c r="O2019" s="1475"/>
    </row>
    <row r="2020" spans="11:15">
      <c r="K2020" s="1472">
        <v>44077</v>
      </c>
      <c r="L2020" s="1473" t="s">
        <v>2127</v>
      </c>
      <c r="M2020" s="1474">
        <v>7.4689999999999999E-3</v>
      </c>
      <c r="N2020" s="1475">
        <v>1.6070349681452207</v>
      </c>
      <c r="O2020" s="1475"/>
    </row>
    <row r="2021" spans="11:15">
      <c r="K2021" s="1472">
        <v>44078</v>
      </c>
      <c r="L2021" s="1473" t="s">
        <v>2127</v>
      </c>
      <c r="M2021" s="1474">
        <v>7.4689999999999999E-3</v>
      </c>
      <c r="N2021" s="1475">
        <v>1.6071549975869914</v>
      </c>
      <c r="O2021" s="1475"/>
    </row>
    <row r="2022" spans="11:15">
      <c r="K2022" s="1472">
        <v>44079</v>
      </c>
      <c r="L2022" s="1473"/>
      <c r="M2022" s="1474">
        <v>0</v>
      </c>
      <c r="N2022" s="1475">
        <v>1.6071549975869914</v>
      </c>
      <c r="O2022" s="1475"/>
    </row>
    <row r="2023" spans="11:15">
      <c r="K2023" s="1472">
        <v>44080</v>
      </c>
      <c r="L2023" s="1473"/>
      <c r="M2023" s="1474">
        <v>0</v>
      </c>
      <c r="N2023" s="1475">
        <v>1.6071549975869914</v>
      </c>
      <c r="O2023" s="1475"/>
    </row>
    <row r="2024" spans="11:15">
      <c r="K2024" s="1472">
        <v>44081</v>
      </c>
      <c r="L2024" s="1473"/>
      <c r="M2024" s="1474">
        <v>0</v>
      </c>
      <c r="N2024" s="1475">
        <v>1.6071549975869914</v>
      </c>
      <c r="O2024" s="1475"/>
    </row>
    <row r="2025" spans="11:15">
      <c r="K2025" s="1472">
        <v>44082</v>
      </c>
      <c r="L2025" s="1473" t="s">
        <v>2127</v>
      </c>
      <c r="M2025" s="1474">
        <v>7.4689999999999999E-3</v>
      </c>
      <c r="N2025" s="1475">
        <v>1.6072750359937611</v>
      </c>
      <c r="O2025" s="1475"/>
    </row>
    <row r="2026" spans="11:15">
      <c r="K2026" s="1472">
        <v>44083</v>
      </c>
      <c r="L2026" s="1473" t="s">
        <v>2127</v>
      </c>
      <c r="M2026" s="1474">
        <v>7.4689999999999999E-3</v>
      </c>
      <c r="N2026" s="1475">
        <v>1.6073950833661994</v>
      </c>
      <c r="O2026" s="1475"/>
    </row>
    <row r="2027" spans="11:15">
      <c r="K2027" s="1472">
        <v>44084</v>
      </c>
      <c r="L2027" s="1473" t="s">
        <v>2127</v>
      </c>
      <c r="M2027" s="1474">
        <v>7.4689999999999999E-3</v>
      </c>
      <c r="N2027" s="1475">
        <v>1.6075151397049758</v>
      </c>
      <c r="O2027" s="1475"/>
    </row>
    <row r="2028" spans="11:15">
      <c r="K2028" s="1472">
        <v>44085</v>
      </c>
      <c r="L2028" s="1473" t="s">
        <v>2127</v>
      </c>
      <c r="M2028" s="1474">
        <v>7.4689999999999999E-3</v>
      </c>
      <c r="N2028" s="1475">
        <v>1.6076352050107603</v>
      </c>
      <c r="O2028" s="1475"/>
    </row>
    <row r="2029" spans="11:15">
      <c r="K2029" s="1472">
        <v>44086</v>
      </c>
      <c r="L2029" s="1473"/>
      <c r="M2029" s="1474">
        <v>0</v>
      </c>
      <c r="N2029" s="1475">
        <v>1.6076352050107603</v>
      </c>
      <c r="O2029" s="1475"/>
    </row>
    <row r="2030" spans="11:15">
      <c r="K2030" s="1472">
        <v>44087</v>
      </c>
      <c r="L2030" s="1473"/>
      <c r="M2030" s="1474">
        <v>0</v>
      </c>
      <c r="N2030" s="1475">
        <v>1.6076352050107603</v>
      </c>
      <c r="O2030" s="1475"/>
    </row>
    <row r="2031" spans="11:15">
      <c r="K2031" s="1472">
        <v>44088</v>
      </c>
      <c r="L2031" s="1473" t="s">
        <v>2127</v>
      </c>
      <c r="M2031" s="1474">
        <v>7.4689999999999999E-3</v>
      </c>
      <c r="N2031" s="1475">
        <v>1.6077552792842225</v>
      </c>
      <c r="O2031" s="1475"/>
    </row>
    <row r="2032" spans="11:15">
      <c r="K2032" s="1472">
        <v>44089</v>
      </c>
      <c r="L2032" s="1473" t="s">
        <v>2127</v>
      </c>
      <c r="M2032" s="1474">
        <v>7.4689999999999999E-3</v>
      </c>
      <c r="N2032" s="1475">
        <v>1.607875362526032</v>
      </c>
      <c r="O2032" s="1475"/>
    </row>
    <row r="2033" spans="11:15">
      <c r="K2033" s="1472">
        <v>44090</v>
      </c>
      <c r="L2033" s="1473" t="s">
        <v>2127</v>
      </c>
      <c r="M2033" s="1474">
        <v>7.4689999999999999E-3</v>
      </c>
      <c r="N2033" s="1475">
        <v>1.6079954547368589</v>
      </c>
      <c r="O2033" s="1475"/>
    </row>
    <row r="2034" spans="11:15">
      <c r="K2034" s="1472">
        <v>44091</v>
      </c>
      <c r="L2034" s="1473" t="s">
        <v>2127</v>
      </c>
      <c r="M2034" s="1474">
        <v>7.4689999999999999E-3</v>
      </c>
      <c r="N2034" s="1475">
        <v>1.608115555917373</v>
      </c>
      <c r="O2034" s="1475"/>
    </row>
    <row r="2035" spans="11:15">
      <c r="K2035" s="1472">
        <v>44092</v>
      </c>
      <c r="L2035" s="1473" t="s">
        <v>2127</v>
      </c>
      <c r="M2035" s="1474">
        <v>7.4689999999999999E-3</v>
      </c>
      <c r="N2035" s="1475">
        <v>1.6082356660682444</v>
      </c>
      <c r="O2035" s="1475"/>
    </row>
    <row r="2036" spans="11:15">
      <c r="K2036" s="1472">
        <v>44093</v>
      </c>
      <c r="L2036" s="1473"/>
      <c r="M2036" s="1474">
        <v>0</v>
      </c>
      <c r="N2036" s="1475">
        <v>1.6082356660682444</v>
      </c>
      <c r="O2036" s="1475"/>
    </row>
    <row r="2037" spans="11:15">
      <c r="K2037" s="1472">
        <v>44094</v>
      </c>
      <c r="L2037" s="1473"/>
      <c r="M2037" s="1474">
        <v>0</v>
      </c>
      <c r="N2037" s="1475">
        <v>1.6082356660682444</v>
      </c>
      <c r="O2037" s="1475"/>
    </row>
    <row r="2038" spans="11:15">
      <c r="K2038" s="1472">
        <v>44095</v>
      </c>
      <c r="L2038" s="1473" t="s">
        <v>2127</v>
      </c>
      <c r="M2038" s="1474">
        <v>7.4689999999999999E-3</v>
      </c>
      <c r="N2038" s="1475">
        <v>1.6083557851901429</v>
      </c>
      <c r="O2038" s="1475"/>
    </row>
    <row r="2039" spans="11:15">
      <c r="K2039" s="1472">
        <v>44096</v>
      </c>
      <c r="L2039" s="1473" t="s">
        <v>2127</v>
      </c>
      <c r="M2039" s="1474">
        <v>7.4689999999999999E-3</v>
      </c>
      <c r="N2039" s="1475">
        <v>1.6084759132837387</v>
      </c>
      <c r="O2039" s="1475"/>
    </row>
    <row r="2040" spans="11:15">
      <c r="K2040" s="1472">
        <v>44097</v>
      </c>
      <c r="L2040" s="1473" t="s">
        <v>2127</v>
      </c>
      <c r="M2040" s="1474">
        <v>7.4689999999999999E-3</v>
      </c>
      <c r="N2040" s="1475">
        <v>1.6085960503497019</v>
      </c>
      <c r="O2040" s="1475"/>
    </row>
    <row r="2041" spans="11:15">
      <c r="K2041" s="1472">
        <v>44098</v>
      </c>
      <c r="L2041" s="1473" t="s">
        <v>2127</v>
      </c>
      <c r="M2041" s="1474">
        <v>7.4689999999999999E-3</v>
      </c>
      <c r="N2041" s="1475">
        <v>1.6087161963887024</v>
      </c>
      <c r="O2041" s="1475"/>
    </row>
    <row r="2042" spans="11:15">
      <c r="K2042" s="1472">
        <v>44099</v>
      </c>
      <c r="L2042" s="1473" t="s">
        <v>2127</v>
      </c>
      <c r="M2042" s="1474">
        <v>7.4689999999999999E-3</v>
      </c>
      <c r="N2042" s="1475">
        <v>1.6088363514014106</v>
      </c>
      <c r="O2042" s="1475"/>
    </row>
    <row r="2043" spans="11:15">
      <c r="K2043" s="1472">
        <v>44100</v>
      </c>
      <c r="L2043" s="1473"/>
      <c r="M2043" s="1474">
        <v>0</v>
      </c>
      <c r="N2043" s="1475">
        <v>1.6088363514014106</v>
      </c>
      <c r="O2043" s="1475"/>
    </row>
    <row r="2044" spans="11:15">
      <c r="K2044" s="1472">
        <v>44101</v>
      </c>
      <c r="L2044" s="1473"/>
      <c r="M2044" s="1474">
        <v>0</v>
      </c>
      <c r="N2044" s="1475">
        <v>1.6088363514014106</v>
      </c>
      <c r="O2044" s="1475"/>
    </row>
    <row r="2045" spans="11:15">
      <c r="K2045" s="1472">
        <v>44102</v>
      </c>
      <c r="L2045" s="1473" t="s">
        <v>2127</v>
      </c>
      <c r="M2045" s="1474">
        <v>7.4689999999999999E-3</v>
      </c>
      <c r="N2045" s="1475">
        <v>1.6089565153884966</v>
      </c>
      <c r="O2045" s="1475"/>
    </row>
    <row r="2046" spans="11:15">
      <c r="K2046" s="1472">
        <v>44103</v>
      </c>
      <c r="L2046" s="1473" t="s">
        <v>2127</v>
      </c>
      <c r="M2046" s="1474">
        <v>7.4689999999999999E-3</v>
      </c>
      <c r="N2046" s="1475">
        <v>1.6090766883506309</v>
      </c>
      <c r="O2046" s="1475"/>
    </row>
    <row r="2047" spans="11:15">
      <c r="K2047" s="1472">
        <v>44104</v>
      </c>
      <c r="L2047" s="1473" t="s">
        <v>2127</v>
      </c>
      <c r="M2047" s="1474">
        <v>7.4689999999999999E-3</v>
      </c>
      <c r="N2047" s="1475">
        <v>1.6091968702884838</v>
      </c>
      <c r="O2047" s="1475"/>
    </row>
    <row r="2048" spans="11:15">
      <c r="K2048" s="1472">
        <v>44105</v>
      </c>
      <c r="L2048" s="1473" t="s">
        <v>2127</v>
      </c>
      <c r="M2048" s="1474">
        <v>7.4689999999999999E-3</v>
      </c>
      <c r="N2048" s="1475">
        <v>1.6093170612027254</v>
      </c>
      <c r="O2048" s="1475"/>
    </row>
    <row r="2049" spans="11:15">
      <c r="K2049" s="1472">
        <v>44106</v>
      </c>
      <c r="L2049" s="1473" t="s">
        <v>2127</v>
      </c>
      <c r="M2049" s="1474">
        <v>7.4689999999999999E-3</v>
      </c>
      <c r="N2049" s="1475">
        <v>1.6094372610940266</v>
      </c>
      <c r="O2049" s="1475"/>
    </row>
    <row r="2050" spans="11:15">
      <c r="K2050" s="1472">
        <v>44107</v>
      </c>
      <c r="L2050" s="1473"/>
      <c r="M2050" s="1474">
        <v>0</v>
      </c>
      <c r="N2050" s="1475">
        <v>1.6094372610940266</v>
      </c>
      <c r="O2050" s="1475"/>
    </row>
    <row r="2051" spans="11:15">
      <c r="K2051" s="1472">
        <v>44108</v>
      </c>
      <c r="L2051" s="1473"/>
      <c r="M2051" s="1474">
        <v>0</v>
      </c>
      <c r="N2051" s="1475">
        <v>1.6094372610940266</v>
      </c>
      <c r="O2051" s="1475"/>
    </row>
    <row r="2052" spans="11:15">
      <c r="K2052" s="1472">
        <v>44109</v>
      </c>
      <c r="L2052" s="1473" t="s">
        <v>2127</v>
      </c>
      <c r="M2052" s="1474">
        <v>7.4689999999999999E-3</v>
      </c>
      <c r="N2052" s="1475">
        <v>1.6095574699630577</v>
      </c>
      <c r="O2052" s="1475"/>
    </row>
    <row r="2053" spans="11:15">
      <c r="K2053" s="1472">
        <v>44110</v>
      </c>
      <c r="L2053" s="1473" t="s">
        <v>2127</v>
      </c>
      <c r="M2053" s="1474">
        <v>7.4689999999999999E-3</v>
      </c>
      <c r="N2053" s="1475">
        <v>1.609677687810489</v>
      </c>
      <c r="O2053" s="1475"/>
    </row>
    <row r="2054" spans="11:15">
      <c r="K2054" s="1472">
        <v>44111</v>
      </c>
      <c r="L2054" s="1473" t="s">
        <v>2127</v>
      </c>
      <c r="M2054" s="1474">
        <v>7.4689999999999999E-3</v>
      </c>
      <c r="N2054" s="1475">
        <v>1.6097979146369914</v>
      </c>
      <c r="O2054" s="1475"/>
    </row>
    <row r="2055" spans="11:15">
      <c r="K2055" s="1472">
        <v>44112</v>
      </c>
      <c r="L2055" s="1473" t="s">
        <v>2127</v>
      </c>
      <c r="M2055" s="1474">
        <v>7.4689999999999999E-3</v>
      </c>
      <c r="N2055" s="1475">
        <v>1.6099181504432356</v>
      </c>
      <c r="O2055" s="1475"/>
    </row>
    <row r="2056" spans="11:15">
      <c r="K2056" s="1472">
        <v>44113</v>
      </c>
      <c r="L2056" s="1473" t="s">
        <v>2127</v>
      </c>
      <c r="M2056" s="1474">
        <v>7.4689999999999999E-3</v>
      </c>
      <c r="N2056" s="1475">
        <v>1.610038395229892</v>
      </c>
      <c r="O2056" s="1475"/>
    </row>
    <row r="2057" spans="11:15">
      <c r="K2057" s="1472">
        <v>44114</v>
      </c>
      <c r="L2057" s="1473"/>
      <c r="M2057" s="1474">
        <v>0</v>
      </c>
      <c r="N2057" s="1475">
        <v>1.610038395229892</v>
      </c>
      <c r="O2057" s="1475"/>
    </row>
    <row r="2058" spans="11:15">
      <c r="K2058" s="1472">
        <v>44115</v>
      </c>
      <c r="L2058" s="1473"/>
      <c r="M2058" s="1474">
        <v>0</v>
      </c>
      <c r="N2058" s="1475">
        <v>1.610038395229892</v>
      </c>
      <c r="O2058" s="1475"/>
    </row>
    <row r="2059" spans="11:15">
      <c r="K2059" s="1472">
        <v>44116</v>
      </c>
      <c r="L2059" s="1473"/>
      <c r="M2059" s="1474">
        <v>0</v>
      </c>
      <c r="N2059" s="1475">
        <v>1.610038395229892</v>
      </c>
      <c r="O2059" s="1475"/>
    </row>
    <row r="2060" spans="11:15">
      <c r="K2060" s="1472">
        <v>44117</v>
      </c>
      <c r="L2060" s="1473" t="s">
        <v>2127</v>
      </c>
      <c r="M2060" s="1474">
        <v>7.4689999999999999E-3</v>
      </c>
      <c r="N2060" s="1475">
        <v>1.6101586489976316</v>
      </c>
      <c r="O2060" s="1475"/>
    </row>
    <row r="2061" spans="11:15">
      <c r="K2061" s="1472">
        <v>44118</v>
      </c>
      <c r="L2061" s="1473" t="s">
        <v>2127</v>
      </c>
      <c r="M2061" s="1474">
        <v>7.4689999999999999E-3</v>
      </c>
      <c r="N2061" s="1475">
        <v>1.6102789117471252</v>
      </c>
      <c r="O2061" s="1475"/>
    </row>
    <row r="2062" spans="11:15">
      <c r="K2062" s="1472">
        <v>44119</v>
      </c>
      <c r="L2062" s="1473" t="s">
        <v>2127</v>
      </c>
      <c r="M2062" s="1474">
        <v>7.4689999999999999E-3</v>
      </c>
      <c r="N2062" s="1475">
        <v>1.6103991834790434</v>
      </c>
      <c r="O2062" s="1475"/>
    </row>
    <row r="2063" spans="11:15">
      <c r="K2063" s="1472">
        <v>44120</v>
      </c>
      <c r="L2063" s="1473" t="s">
        <v>2127</v>
      </c>
      <c r="M2063" s="1474">
        <v>7.4689999999999999E-3</v>
      </c>
      <c r="N2063" s="1475">
        <v>1.6105194641940574</v>
      </c>
      <c r="O2063" s="1475"/>
    </row>
    <row r="2064" spans="11:15">
      <c r="K2064" s="1472">
        <v>44121</v>
      </c>
      <c r="L2064" s="1473"/>
      <c r="M2064" s="1474">
        <v>0</v>
      </c>
      <c r="N2064" s="1475">
        <v>1.6105194641940574</v>
      </c>
      <c r="O2064" s="1475"/>
    </row>
    <row r="2065" spans="11:15">
      <c r="K2065" s="1472">
        <v>44122</v>
      </c>
      <c r="L2065" s="1473"/>
      <c r="M2065" s="1474">
        <v>0</v>
      </c>
      <c r="N2065" s="1475">
        <v>1.6105194641940574</v>
      </c>
      <c r="O2065" s="1475"/>
    </row>
    <row r="2066" spans="11:15">
      <c r="K2066" s="1472">
        <v>44123</v>
      </c>
      <c r="L2066" s="1473" t="s">
        <v>2127</v>
      </c>
      <c r="M2066" s="1474">
        <v>7.4689999999999999E-3</v>
      </c>
      <c r="N2066" s="1475">
        <v>1.6106397538928381</v>
      </c>
      <c r="O2066" s="1475"/>
    </row>
    <row r="2067" spans="11:15">
      <c r="K2067" s="1472">
        <v>44124</v>
      </c>
      <c r="L2067" s="1473" t="s">
        <v>2127</v>
      </c>
      <c r="M2067" s="1474">
        <v>7.4689999999999999E-3</v>
      </c>
      <c r="N2067" s="1475">
        <v>1.6107600525760561</v>
      </c>
      <c r="O2067" s="1475"/>
    </row>
    <row r="2068" spans="11:15">
      <c r="K2068" s="1472">
        <v>44125</v>
      </c>
      <c r="L2068" s="1473" t="s">
        <v>2127</v>
      </c>
      <c r="M2068" s="1474">
        <v>7.4689999999999999E-3</v>
      </c>
      <c r="N2068" s="1475">
        <v>1.6108803602443829</v>
      </c>
      <c r="O2068" s="1475"/>
    </row>
    <row r="2069" spans="11:15">
      <c r="K2069" s="1472">
        <v>44126</v>
      </c>
      <c r="L2069" s="1473" t="s">
        <v>2127</v>
      </c>
      <c r="M2069" s="1474">
        <v>7.4689999999999999E-3</v>
      </c>
      <c r="N2069" s="1475">
        <v>1.6110006768984895</v>
      </c>
      <c r="O2069" s="1475"/>
    </row>
    <row r="2070" spans="11:15">
      <c r="K2070" s="1472">
        <v>44127</v>
      </c>
      <c r="L2070" s="1473" t="s">
        <v>2127</v>
      </c>
      <c r="M2070" s="1474">
        <v>7.4689999999999999E-3</v>
      </c>
      <c r="N2070" s="1475">
        <v>1.611121002539047</v>
      </c>
      <c r="O2070" s="1475"/>
    </row>
    <row r="2071" spans="11:15">
      <c r="K2071" s="1472">
        <v>44128</v>
      </c>
      <c r="L2071" s="1473"/>
      <c r="M2071" s="1474">
        <v>0</v>
      </c>
      <c r="N2071" s="1475">
        <v>1.611121002539047</v>
      </c>
      <c r="O2071" s="1475"/>
    </row>
    <row r="2072" spans="11:15">
      <c r="K2072" s="1472">
        <v>44129</v>
      </c>
      <c r="L2072" s="1473"/>
      <c r="M2072" s="1474">
        <v>0</v>
      </c>
      <c r="N2072" s="1475">
        <v>1.611121002539047</v>
      </c>
      <c r="O2072" s="1475"/>
    </row>
    <row r="2073" spans="11:15">
      <c r="K2073" s="1472">
        <v>44130</v>
      </c>
      <c r="L2073" s="1473" t="s">
        <v>2127</v>
      </c>
      <c r="M2073" s="1474">
        <v>7.4689999999999999E-3</v>
      </c>
      <c r="N2073" s="1475">
        <v>1.6112413371667265</v>
      </c>
      <c r="O2073" s="1475"/>
    </row>
    <row r="2074" spans="11:15">
      <c r="K2074" s="1472">
        <v>44131</v>
      </c>
      <c r="L2074" s="1473" t="s">
        <v>2127</v>
      </c>
      <c r="M2074" s="1474">
        <v>7.4689999999999999E-3</v>
      </c>
      <c r="N2074" s="1475">
        <v>1.6113616807821993</v>
      </c>
      <c r="O2074" s="1475"/>
    </row>
    <row r="2075" spans="11:15">
      <c r="K2075" s="1472">
        <v>44132</v>
      </c>
      <c r="L2075" s="1473" t="s">
        <v>2127</v>
      </c>
      <c r="M2075" s="1474">
        <v>7.4689999999999999E-3</v>
      </c>
      <c r="N2075" s="1475">
        <v>1.6114820333861368</v>
      </c>
      <c r="O2075" s="1475"/>
    </row>
    <row r="2076" spans="11:15">
      <c r="K2076" s="1472">
        <v>44133</v>
      </c>
      <c r="L2076" s="1473" t="s">
        <v>2127</v>
      </c>
      <c r="M2076" s="1474">
        <v>7.4689999999999999E-3</v>
      </c>
      <c r="N2076" s="1475">
        <v>1.6116023949792104</v>
      </c>
      <c r="O2076" s="1475"/>
    </row>
    <row r="2077" spans="11:15">
      <c r="K2077" s="1472">
        <v>44134</v>
      </c>
      <c r="L2077" s="1473" t="s">
        <v>2127</v>
      </c>
      <c r="M2077" s="1474">
        <v>7.4689999999999999E-3</v>
      </c>
      <c r="N2077" s="1475">
        <v>1.6117227655620914</v>
      </c>
      <c r="O2077" s="1475"/>
    </row>
    <row r="2078" spans="11:15">
      <c r="K2078" s="1472">
        <v>44135</v>
      </c>
      <c r="L2078" s="1473"/>
      <c r="M2078" s="1474">
        <v>0</v>
      </c>
      <c r="N2078" s="1475">
        <v>1.6117227655620914</v>
      </c>
      <c r="O2078" s="1475"/>
    </row>
    <row r="2079" spans="11:15">
      <c r="K2079" s="1472">
        <v>44136</v>
      </c>
      <c r="L2079" s="1473"/>
      <c r="M2079" s="1474">
        <v>0</v>
      </c>
      <c r="N2079" s="1475">
        <v>1.6117227655620914</v>
      </c>
      <c r="O2079" s="1475"/>
    </row>
    <row r="2080" spans="11:15">
      <c r="K2080" s="1472">
        <v>44137</v>
      </c>
      <c r="L2080" s="1473"/>
      <c r="M2080" s="1474">
        <v>0</v>
      </c>
      <c r="N2080" s="1475">
        <v>1.6117227655620914</v>
      </c>
      <c r="O2080" s="1475"/>
    </row>
    <row r="2081" spans="11:15">
      <c r="K2081" s="1472">
        <v>44138</v>
      </c>
      <c r="L2081" s="1473" t="s">
        <v>2127</v>
      </c>
      <c r="M2081" s="1474">
        <v>7.4689999999999999E-3</v>
      </c>
      <c r="N2081" s="1475">
        <v>1.6118431451354511</v>
      </c>
      <c r="O2081" s="1475"/>
    </row>
    <row r="2082" spans="11:15">
      <c r="K2082" s="1472">
        <v>44139</v>
      </c>
      <c r="L2082" s="1473" t="s">
        <v>2127</v>
      </c>
      <c r="M2082" s="1474">
        <v>7.4689999999999999E-3</v>
      </c>
      <c r="N2082" s="1475">
        <v>1.6119635336999611</v>
      </c>
      <c r="O2082" s="1475"/>
    </row>
    <row r="2083" spans="11:15">
      <c r="K2083" s="1472">
        <v>44140</v>
      </c>
      <c r="L2083" s="1473" t="s">
        <v>2127</v>
      </c>
      <c r="M2083" s="1474">
        <v>7.4689999999999999E-3</v>
      </c>
      <c r="N2083" s="1475">
        <v>1.6120839312562931</v>
      </c>
      <c r="O2083" s="1475"/>
    </row>
    <row r="2084" spans="11:15">
      <c r="K2084" s="1472">
        <v>44141</v>
      </c>
      <c r="L2084" s="1473" t="s">
        <v>2127</v>
      </c>
      <c r="M2084" s="1474">
        <v>7.4689999999999999E-3</v>
      </c>
      <c r="N2084" s="1475">
        <v>1.6122043378051185</v>
      </c>
      <c r="O2084" s="1475"/>
    </row>
    <row r="2085" spans="11:15">
      <c r="K2085" s="1472">
        <v>44142</v>
      </c>
      <c r="L2085" s="1473"/>
      <c r="M2085" s="1474">
        <v>0</v>
      </c>
      <c r="N2085" s="1475">
        <v>1.6122043378051185</v>
      </c>
      <c r="O2085" s="1475"/>
    </row>
    <row r="2086" spans="11:15">
      <c r="K2086" s="1472">
        <v>44143</v>
      </c>
      <c r="L2086" s="1473"/>
      <c r="M2086" s="1474">
        <v>0</v>
      </c>
      <c r="N2086" s="1475">
        <v>1.6122043378051185</v>
      </c>
      <c r="O2086" s="1475"/>
    </row>
    <row r="2087" spans="11:15">
      <c r="K2087" s="1472">
        <v>44144</v>
      </c>
      <c r="L2087" s="1473" t="s">
        <v>2127</v>
      </c>
      <c r="M2087" s="1474">
        <v>7.4689999999999999E-3</v>
      </c>
      <c r="N2087" s="1475">
        <v>1.612324753347109</v>
      </c>
      <c r="O2087" s="1475"/>
    </row>
    <row r="2088" spans="11:15">
      <c r="K2088" s="1472">
        <v>44145</v>
      </c>
      <c r="L2088" s="1473" t="s">
        <v>2127</v>
      </c>
      <c r="M2088" s="1474">
        <v>7.4689999999999999E-3</v>
      </c>
      <c r="N2088" s="1475">
        <v>1.6124451778829363</v>
      </c>
      <c r="O2088" s="1475"/>
    </row>
    <row r="2089" spans="11:15">
      <c r="K2089" s="1472">
        <v>44146</v>
      </c>
      <c r="L2089" s="1473" t="s">
        <v>2127</v>
      </c>
      <c r="M2089" s="1474">
        <v>7.4689999999999999E-3</v>
      </c>
      <c r="N2089" s="1475">
        <v>1.6125656114132723</v>
      </c>
      <c r="O2089" s="1475"/>
    </row>
    <row r="2090" spans="11:15">
      <c r="K2090" s="1472">
        <v>44147</v>
      </c>
      <c r="L2090" s="1473" t="s">
        <v>2127</v>
      </c>
      <c r="M2090" s="1474">
        <v>7.4689999999999999E-3</v>
      </c>
      <c r="N2090" s="1475">
        <v>1.6126860539387886</v>
      </c>
      <c r="O2090" s="1475"/>
    </row>
    <row r="2091" spans="11:15">
      <c r="K2091" s="1472">
        <v>44148</v>
      </c>
      <c r="L2091" s="1473" t="s">
        <v>2127</v>
      </c>
      <c r="M2091" s="1474">
        <v>7.4689999999999999E-3</v>
      </c>
      <c r="N2091" s="1475">
        <v>1.6128065054601572</v>
      </c>
      <c r="O2091" s="1475"/>
    </row>
    <row r="2092" spans="11:15">
      <c r="K2092" s="1472">
        <v>44149</v>
      </c>
      <c r="L2092" s="1473"/>
      <c r="M2092" s="1474">
        <v>0</v>
      </c>
      <c r="N2092" s="1475">
        <v>1.6128065054601572</v>
      </c>
      <c r="O2092" s="1475"/>
    </row>
    <row r="2093" spans="11:15">
      <c r="K2093" s="1472">
        <v>44150</v>
      </c>
      <c r="L2093" s="1473"/>
      <c r="M2093" s="1474">
        <v>0</v>
      </c>
      <c r="N2093" s="1475">
        <v>1.6128065054601572</v>
      </c>
      <c r="O2093" s="1475"/>
    </row>
    <row r="2094" spans="11:15">
      <c r="K2094" s="1472">
        <v>44151</v>
      </c>
      <c r="L2094" s="1473" t="s">
        <v>2127</v>
      </c>
      <c r="M2094" s="1474">
        <v>7.4689999999999999E-3</v>
      </c>
      <c r="N2094" s="1475">
        <v>1.6129269659780499</v>
      </c>
      <c r="O2094" s="1475"/>
    </row>
    <row r="2095" spans="11:15">
      <c r="K2095" s="1472">
        <v>44152</v>
      </c>
      <c r="L2095" s="1473" t="s">
        <v>2127</v>
      </c>
      <c r="M2095" s="1474">
        <v>7.4689999999999999E-3</v>
      </c>
      <c r="N2095" s="1475">
        <v>1.6130474354931386</v>
      </c>
      <c r="O2095" s="1475"/>
    </row>
    <row r="2096" spans="11:15">
      <c r="K2096" s="1472">
        <v>44153</v>
      </c>
      <c r="L2096" s="1473" t="s">
        <v>2127</v>
      </c>
      <c r="M2096" s="1474">
        <v>7.4689999999999999E-3</v>
      </c>
      <c r="N2096" s="1475">
        <v>1.6131679140060955</v>
      </c>
      <c r="O2096" s="1475"/>
    </row>
    <row r="2097" spans="11:15">
      <c r="K2097" s="1472">
        <v>44154</v>
      </c>
      <c r="L2097" s="1473" t="s">
        <v>2127</v>
      </c>
      <c r="M2097" s="1474">
        <v>7.4689999999999999E-3</v>
      </c>
      <c r="N2097" s="1475">
        <v>1.6132884015175926</v>
      </c>
      <c r="O2097" s="1475"/>
    </row>
    <row r="2098" spans="11:15">
      <c r="K2098" s="1472">
        <v>44155</v>
      </c>
      <c r="L2098" s="1473" t="s">
        <v>2127</v>
      </c>
      <c r="M2098" s="1474">
        <v>7.4689999999999999E-3</v>
      </c>
      <c r="N2098" s="1475">
        <v>1.6134088980283019</v>
      </c>
      <c r="O2098" s="1475"/>
    </row>
    <row r="2099" spans="11:15">
      <c r="K2099" s="1472">
        <v>44156</v>
      </c>
      <c r="L2099" s="1473"/>
      <c r="M2099" s="1474">
        <v>0</v>
      </c>
      <c r="N2099" s="1475">
        <v>1.6134088980283019</v>
      </c>
      <c r="O2099" s="1475"/>
    </row>
    <row r="2100" spans="11:15">
      <c r="K2100" s="1472">
        <v>44157</v>
      </c>
      <c r="L2100" s="1473"/>
      <c r="M2100" s="1474">
        <v>0</v>
      </c>
      <c r="N2100" s="1475">
        <v>1.6134088980283019</v>
      </c>
      <c r="O2100" s="1475"/>
    </row>
    <row r="2101" spans="11:15">
      <c r="K2101" s="1472">
        <v>44158</v>
      </c>
      <c r="L2101" s="1473" t="s">
        <v>2127</v>
      </c>
      <c r="M2101" s="1474">
        <v>7.4689999999999999E-3</v>
      </c>
      <c r="N2101" s="1475">
        <v>1.6135294035388956</v>
      </c>
      <c r="O2101" s="1475"/>
    </row>
    <row r="2102" spans="11:15">
      <c r="K2102" s="1472">
        <v>44159</v>
      </c>
      <c r="L2102" s="1473" t="s">
        <v>2127</v>
      </c>
      <c r="M2102" s="1474">
        <v>7.4689999999999999E-3</v>
      </c>
      <c r="N2102" s="1475">
        <v>1.6136499180500459</v>
      </c>
      <c r="O2102" s="1475"/>
    </row>
    <row r="2103" spans="11:15">
      <c r="K2103" s="1472">
        <v>44160</v>
      </c>
      <c r="L2103" s="1473" t="s">
        <v>2127</v>
      </c>
      <c r="M2103" s="1474">
        <v>7.4689999999999999E-3</v>
      </c>
      <c r="N2103" s="1475">
        <v>1.613770441562425</v>
      </c>
      <c r="O2103" s="1475"/>
    </row>
    <row r="2104" spans="11:15">
      <c r="K2104" s="1472">
        <v>44161</v>
      </c>
      <c r="L2104" s="1473" t="s">
        <v>2127</v>
      </c>
      <c r="M2104" s="1474">
        <v>7.4689999999999999E-3</v>
      </c>
      <c r="N2104" s="1475">
        <v>1.6138909740767051</v>
      </c>
      <c r="O2104" s="1475"/>
    </row>
    <row r="2105" spans="11:15">
      <c r="K2105" s="1472">
        <v>44162</v>
      </c>
      <c r="L2105" s="1473" t="s">
        <v>2127</v>
      </c>
      <c r="M2105" s="1474">
        <v>7.4689999999999999E-3</v>
      </c>
      <c r="N2105" s="1475">
        <v>1.6140115155935588</v>
      </c>
      <c r="O2105" s="1475"/>
    </row>
    <row r="2106" spans="11:15">
      <c r="K2106" s="1472">
        <v>44163</v>
      </c>
      <c r="L2106" s="1473"/>
      <c r="M2106" s="1474">
        <v>0</v>
      </c>
      <c r="N2106" s="1475">
        <v>1.6140115155935588</v>
      </c>
      <c r="O2106" s="1475"/>
    </row>
    <row r="2107" spans="11:15">
      <c r="K2107" s="1472">
        <v>44164</v>
      </c>
      <c r="L2107" s="1473"/>
      <c r="M2107" s="1474">
        <v>0</v>
      </c>
      <c r="N2107" s="1475">
        <v>1.6140115155935588</v>
      </c>
      <c r="O2107" s="1475"/>
    </row>
    <row r="2108" spans="11:15">
      <c r="K2108" s="1472">
        <v>44165</v>
      </c>
      <c r="L2108" s="1473" t="s">
        <v>2127</v>
      </c>
      <c r="M2108" s="1474">
        <v>7.4689999999999999E-3</v>
      </c>
      <c r="N2108" s="1475">
        <v>1.6141320661136584</v>
      </c>
      <c r="O2108" s="1475"/>
    </row>
    <row r="2109" spans="11:15">
      <c r="K2109" s="1472">
        <v>44166</v>
      </c>
      <c r="L2109" s="1473" t="s">
        <v>2127</v>
      </c>
      <c r="M2109" s="1474">
        <v>7.4689999999999999E-3</v>
      </c>
      <c r="N2109" s="1475">
        <v>1.6142526256376764</v>
      </c>
      <c r="O2109" s="1475"/>
    </row>
    <row r="2110" spans="11:15">
      <c r="K2110" s="1472">
        <v>44167</v>
      </c>
      <c r="L2110" s="1473" t="s">
        <v>2127</v>
      </c>
      <c r="M2110" s="1474">
        <v>7.4689999999999999E-3</v>
      </c>
      <c r="N2110" s="1475">
        <v>1.6143731941662851</v>
      </c>
      <c r="O2110" s="1475"/>
    </row>
    <row r="2111" spans="11:15">
      <c r="K2111" s="1472">
        <v>44168</v>
      </c>
      <c r="L2111" s="1473" t="s">
        <v>2127</v>
      </c>
      <c r="M2111" s="1474">
        <v>7.4689999999999999E-3</v>
      </c>
      <c r="N2111" s="1475">
        <v>1.6144937717001573</v>
      </c>
      <c r="O2111" s="1475"/>
    </row>
    <row r="2112" spans="11:15">
      <c r="K2112" s="1472">
        <v>44169</v>
      </c>
      <c r="L2112" s="1473" t="s">
        <v>2127</v>
      </c>
      <c r="M2112" s="1474">
        <v>7.4689999999999999E-3</v>
      </c>
      <c r="N2112" s="1475">
        <v>1.6146143582399655</v>
      </c>
      <c r="O2112" s="1475"/>
    </row>
    <row r="2113" spans="11:15">
      <c r="K2113" s="1472">
        <v>44170</v>
      </c>
      <c r="L2113" s="1473"/>
      <c r="M2113" s="1474">
        <v>0</v>
      </c>
      <c r="N2113" s="1475">
        <v>1.6146143582399655</v>
      </c>
      <c r="O2113" s="1475"/>
    </row>
    <row r="2114" spans="11:15">
      <c r="K2114" s="1472">
        <v>44171</v>
      </c>
      <c r="L2114" s="1473"/>
      <c r="M2114" s="1474">
        <v>0</v>
      </c>
      <c r="N2114" s="1475">
        <v>1.6146143582399655</v>
      </c>
      <c r="O2114" s="1475"/>
    </row>
    <row r="2115" spans="11:15">
      <c r="K2115" s="1472">
        <v>44172</v>
      </c>
      <c r="L2115" s="1473" t="s">
        <v>2127</v>
      </c>
      <c r="M2115" s="1474">
        <v>7.4689999999999999E-3</v>
      </c>
      <c r="N2115" s="1475">
        <v>1.6147349537863822</v>
      </c>
      <c r="O2115" s="1475"/>
    </row>
    <row r="2116" spans="11:15">
      <c r="K2116" s="1472">
        <v>44173</v>
      </c>
      <c r="L2116" s="1473" t="s">
        <v>2127</v>
      </c>
      <c r="M2116" s="1474">
        <v>7.4689999999999999E-3</v>
      </c>
      <c r="N2116" s="1475">
        <v>1.6148555583400803</v>
      </c>
      <c r="O2116" s="1475"/>
    </row>
    <row r="2117" spans="11:15">
      <c r="K2117" s="1472">
        <v>44174</v>
      </c>
      <c r="L2117" s="1473" t="s">
        <v>2127</v>
      </c>
      <c r="M2117" s="1474">
        <v>7.4689999999999999E-3</v>
      </c>
      <c r="N2117" s="1475">
        <v>1.6149761719017326</v>
      </c>
      <c r="O2117" s="1475"/>
    </row>
    <row r="2118" spans="11:15">
      <c r="K2118" s="1472">
        <v>44175</v>
      </c>
      <c r="L2118" s="1473" t="s">
        <v>2127</v>
      </c>
      <c r="M2118" s="1474">
        <v>7.4689999999999999E-3</v>
      </c>
      <c r="N2118" s="1475">
        <v>1.6150967944720118</v>
      </c>
      <c r="O2118" s="1475"/>
    </row>
    <row r="2119" spans="11:15">
      <c r="K2119" s="1472">
        <v>44176</v>
      </c>
      <c r="L2119" s="1473" t="s">
        <v>2127</v>
      </c>
      <c r="M2119" s="1474">
        <v>7.4689999999999999E-3</v>
      </c>
      <c r="N2119" s="1475">
        <v>1.6152174260515908</v>
      </c>
      <c r="O2119" s="1475"/>
    </row>
    <row r="2120" spans="11:15">
      <c r="K2120" s="1472">
        <v>44177</v>
      </c>
      <c r="L2120" s="1473"/>
      <c r="M2120" s="1474">
        <v>0</v>
      </c>
      <c r="N2120" s="1475">
        <v>1.6152174260515908</v>
      </c>
      <c r="O2120" s="1475"/>
    </row>
    <row r="2121" spans="11:15">
      <c r="K2121" s="1472">
        <v>44178</v>
      </c>
      <c r="L2121" s="1473"/>
      <c r="M2121" s="1474">
        <v>0</v>
      </c>
      <c r="N2121" s="1475">
        <v>1.6152174260515908</v>
      </c>
      <c r="O2121" s="1475"/>
    </row>
    <row r="2122" spans="11:15">
      <c r="K2122" s="1472">
        <v>44179</v>
      </c>
      <c r="L2122" s="1473" t="s">
        <v>2127</v>
      </c>
      <c r="M2122" s="1474">
        <v>7.4689999999999999E-3</v>
      </c>
      <c r="N2122" s="1475">
        <v>1.6153380666411425</v>
      </c>
      <c r="O2122" s="1475"/>
    </row>
    <row r="2123" spans="11:15">
      <c r="K2123" s="1472">
        <v>44180</v>
      </c>
      <c r="L2123" s="1473" t="s">
        <v>2127</v>
      </c>
      <c r="M2123" s="1474">
        <v>7.4689999999999999E-3</v>
      </c>
      <c r="N2123" s="1475">
        <v>1.6154587162413399</v>
      </c>
      <c r="O2123" s="1475"/>
    </row>
    <row r="2124" spans="11:15">
      <c r="K2124" s="1472">
        <v>44181</v>
      </c>
      <c r="L2124" s="1473" t="s">
        <v>2127</v>
      </c>
      <c r="M2124" s="1474">
        <v>7.4689999999999999E-3</v>
      </c>
      <c r="N2124" s="1475">
        <v>1.6155793748528557</v>
      </c>
      <c r="O2124" s="1475"/>
    </row>
    <row r="2125" spans="11:15">
      <c r="K2125" s="1472">
        <v>44182</v>
      </c>
      <c r="L2125" s="1473" t="s">
        <v>2127</v>
      </c>
      <c r="M2125" s="1474">
        <v>7.4689999999999999E-3</v>
      </c>
      <c r="N2125" s="1475">
        <v>1.6157000424763635</v>
      </c>
      <c r="O2125" s="1475"/>
    </row>
    <row r="2126" spans="11:15">
      <c r="K2126" s="1472">
        <v>44183</v>
      </c>
      <c r="L2126" s="1473" t="s">
        <v>2127</v>
      </c>
      <c r="M2126" s="1474">
        <v>7.4689999999999999E-3</v>
      </c>
      <c r="N2126" s="1475">
        <v>1.615820719112536</v>
      </c>
      <c r="O2126" s="1475"/>
    </row>
    <row r="2127" spans="11:15">
      <c r="K2127" s="1472">
        <v>44184</v>
      </c>
      <c r="L2127" s="1473"/>
      <c r="M2127" s="1474">
        <v>0</v>
      </c>
      <c r="N2127" s="1475">
        <v>1.615820719112536</v>
      </c>
      <c r="O2127" s="1475"/>
    </row>
    <row r="2128" spans="11:15">
      <c r="K2128" s="1472">
        <v>44185</v>
      </c>
      <c r="L2128" s="1473"/>
      <c r="M2128" s="1474">
        <v>0</v>
      </c>
      <c r="N2128" s="1475">
        <v>1.615820719112536</v>
      </c>
      <c r="O2128" s="1475"/>
    </row>
    <row r="2129" spans="11:15">
      <c r="K2129" s="1472">
        <v>44186</v>
      </c>
      <c r="L2129" s="1473" t="s">
        <v>2127</v>
      </c>
      <c r="M2129" s="1474">
        <v>7.4689999999999999E-3</v>
      </c>
      <c r="N2129" s="1475">
        <v>1.6159414047620464</v>
      </c>
      <c r="O2129" s="1475"/>
    </row>
    <row r="2130" spans="11:15">
      <c r="K2130" s="1472">
        <v>44187</v>
      </c>
      <c r="L2130" s="1473" t="s">
        <v>2127</v>
      </c>
      <c r="M2130" s="1474">
        <v>7.4689999999999999E-3</v>
      </c>
      <c r="N2130" s="1475">
        <v>1.6160620994255679</v>
      </c>
      <c r="O2130" s="1475"/>
    </row>
    <row r="2131" spans="11:15">
      <c r="K2131" s="1472">
        <v>44188</v>
      </c>
      <c r="L2131" s="1473" t="s">
        <v>2127</v>
      </c>
      <c r="M2131" s="1474">
        <v>7.4689999999999999E-3</v>
      </c>
      <c r="N2131" s="1475">
        <v>1.6161828031037739</v>
      </c>
      <c r="O2131" s="1475"/>
    </row>
    <row r="2132" spans="11:15">
      <c r="K2132" s="1472">
        <v>44189</v>
      </c>
      <c r="L2132" s="1473" t="s">
        <v>2127</v>
      </c>
      <c r="M2132" s="1474">
        <v>7.4689999999999999E-3</v>
      </c>
      <c r="N2132" s="1475">
        <v>1.6163035157973376</v>
      </c>
      <c r="O2132" s="1475"/>
    </row>
    <row r="2133" spans="11:15">
      <c r="K2133" s="1472">
        <v>44190</v>
      </c>
      <c r="L2133" s="1473"/>
      <c r="M2133" s="1474">
        <v>0</v>
      </c>
      <c r="N2133" s="1475">
        <v>1.6163035157973376</v>
      </c>
      <c r="O2133" s="1475"/>
    </row>
    <row r="2134" spans="11:15">
      <c r="K2134" s="1472">
        <v>44191</v>
      </c>
      <c r="L2134" s="1473"/>
      <c r="M2134" s="1474">
        <v>0</v>
      </c>
      <c r="N2134" s="1475">
        <v>1.6163035157973376</v>
      </c>
      <c r="O2134" s="1475"/>
    </row>
    <row r="2135" spans="11:15">
      <c r="K2135" s="1472">
        <v>44192</v>
      </c>
      <c r="L2135" s="1473"/>
      <c r="M2135" s="1474">
        <v>0</v>
      </c>
      <c r="N2135" s="1475">
        <v>1.6163035157973376</v>
      </c>
      <c r="O2135" s="1475"/>
    </row>
    <row r="2136" spans="11:15">
      <c r="K2136" s="1472">
        <v>44193</v>
      </c>
      <c r="L2136" s="1473" t="s">
        <v>2127</v>
      </c>
      <c r="M2136" s="1474">
        <v>7.4689999999999999E-3</v>
      </c>
      <c r="N2136" s="1475">
        <v>1.6164242375069324</v>
      </c>
      <c r="O2136" s="1475"/>
    </row>
    <row r="2137" spans="11:15">
      <c r="K2137" s="1472">
        <v>44194</v>
      </c>
      <c r="L2137" s="1473" t="s">
        <v>2127</v>
      </c>
      <c r="M2137" s="1474">
        <v>7.4689999999999999E-3</v>
      </c>
      <c r="N2137" s="1475">
        <v>1.6165449682332318</v>
      </c>
      <c r="O2137" s="1475"/>
    </row>
    <row r="2138" spans="11:15">
      <c r="K2138" s="1472">
        <v>44195</v>
      </c>
      <c r="L2138" s="1473" t="s">
        <v>2127</v>
      </c>
      <c r="M2138" s="1474">
        <v>7.4689999999999999E-3</v>
      </c>
      <c r="N2138" s="1475">
        <v>1.6166657079769091</v>
      </c>
      <c r="O2138" s="1475"/>
    </row>
    <row r="2139" spans="11:15">
      <c r="K2139" s="1472">
        <v>44196</v>
      </c>
      <c r="L2139" s="1473" t="s">
        <v>2127</v>
      </c>
      <c r="M2139" s="1474">
        <v>7.4689999999999999E-3</v>
      </c>
      <c r="N2139" s="1475">
        <v>1.6167864567386379</v>
      </c>
      <c r="O2139" s="1475"/>
    </row>
    <row r="2140" spans="11:15">
      <c r="K2140" s="1472">
        <v>44197</v>
      </c>
      <c r="L2140" s="1473"/>
      <c r="M2140" s="1474">
        <v>0</v>
      </c>
      <c r="N2140" s="1475">
        <v>1.6167864567386379</v>
      </c>
      <c r="O2140" s="1475"/>
    </row>
    <row r="2141" spans="11:15">
      <c r="K2141" s="1472">
        <v>44198</v>
      </c>
      <c r="L2141" s="1473"/>
      <c r="M2141" s="1474">
        <v>0</v>
      </c>
      <c r="N2141" s="1475">
        <v>1.6167864567386379</v>
      </c>
      <c r="O2141" s="1475"/>
    </row>
    <row r="2142" spans="11:15">
      <c r="K2142" s="1472">
        <v>44199</v>
      </c>
      <c r="L2142" s="1473"/>
      <c r="M2142" s="1474">
        <v>0</v>
      </c>
      <c r="N2142" s="1475">
        <v>1.6167864567386379</v>
      </c>
      <c r="O2142" s="1475"/>
    </row>
    <row r="2143" spans="11:15">
      <c r="K2143" s="1472">
        <v>44200</v>
      </c>
      <c r="L2143" s="1473" t="s">
        <v>2127</v>
      </c>
      <c r="M2143" s="1474">
        <v>7.4689999999999999E-3</v>
      </c>
      <c r="N2143" s="1475">
        <v>1.6169072145190915</v>
      </c>
      <c r="O2143" s="1475"/>
    </row>
    <row r="2144" spans="11:15">
      <c r="K2144" s="1472">
        <v>44201</v>
      </c>
      <c r="L2144" s="1473" t="s">
        <v>2127</v>
      </c>
      <c r="M2144" s="1474">
        <v>7.4689999999999999E-3</v>
      </c>
      <c r="N2144" s="1475">
        <v>1.6170279813189439</v>
      </c>
      <c r="O2144" s="1475"/>
    </row>
    <row r="2145" spans="11:15">
      <c r="K2145" s="1472">
        <v>44202</v>
      </c>
      <c r="L2145" s="1473" t="s">
        <v>2127</v>
      </c>
      <c r="M2145" s="1474">
        <v>7.4689999999999999E-3</v>
      </c>
      <c r="N2145" s="1475">
        <v>1.6171487571388685</v>
      </c>
      <c r="O2145" s="1475"/>
    </row>
    <row r="2146" spans="11:15">
      <c r="K2146" s="1472">
        <v>44203</v>
      </c>
      <c r="L2146" s="1473" t="s">
        <v>2127</v>
      </c>
      <c r="M2146" s="1474">
        <v>7.4689999999999999E-3</v>
      </c>
      <c r="N2146" s="1475">
        <v>1.6172695419795391</v>
      </c>
      <c r="O2146" s="1475"/>
    </row>
    <row r="2147" spans="11:15">
      <c r="K2147" s="1472">
        <v>44204</v>
      </c>
      <c r="L2147" s="1473" t="s">
        <v>2127</v>
      </c>
      <c r="M2147" s="1474">
        <v>7.4689999999999999E-3</v>
      </c>
      <c r="N2147" s="1475">
        <v>1.6173903358416295</v>
      </c>
      <c r="O2147" s="1475"/>
    </row>
    <row r="2148" spans="11:15">
      <c r="K2148" s="1472">
        <v>44205</v>
      </c>
      <c r="L2148" s="1473"/>
      <c r="M2148" s="1474">
        <v>0</v>
      </c>
      <c r="N2148" s="1475">
        <v>1.6173903358416295</v>
      </c>
      <c r="O2148" s="1475"/>
    </row>
    <row r="2149" spans="11:15">
      <c r="K2149" s="1472">
        <v>44206</v>
      </c>
      <c r="L2149" s="1473"/>
      <c r="M2149" s="1474">
        <v>0</v>
      </c>
      <c r="N2149" s="1475">
        <v>1.6173903358416295</v>
      </c>
      <c r="O2149" s="1475"/>
    </row>
    <row r="2150" spans="11:15">
      <c r="K2150" s="1472">
        <v>44207</v>
      </c>
      <c r="L2150" s="1473" t="s">
        <v>2127</v>
      </c>
      <c r="M2150" s="1474">
        <v>7.4689999999999999E-3</v>
      </c>
      <c r="N2150" s="1475">
        <v>1.6175111387258134</v>
      </c>
      <c r="O2150" s="1475"/>
    </row>
    <row r="2151" spans="11:15">
      <c r="K2151" s="1472">
        <v>44208</v>
      </c>
      <c r="L2151" s="1473" t="s">
        <v>2127</v>
      </c>
      <c r="M2151" s="1474">
        <v>7.4689999999999999E-3</v>
      </c>
      <c r="N2151" s="1475">
        <v>1.6176319506327648</v>
      </c>
      <c r="O2151" s="1475"/>
    </row>
    <row r="2152" spans="11:15">
      <c r="K2152" s="1472">
        <v>44209</v>
      </c>
      <c r="L2152" s="1473" t="s">
        <v>2127</v>
      </c>
      <c r="M2152" s="1474">
        <v>7.4689999999999999E-3</v>
      </c>
      <c r="N2152" s="1475">
        <v>1.6177527715631574</v>
      </c>
      <c r="O2152" s="1475"/>
    </row>
    <row r="2153" spans="11:15">
      <c r="K2153" s="1472">
        <v>44210</v>
      </c>
      <c r="L2153" s="1473" t="s">
        <v>2127</v>
      </c>
      <c r="M2153" s="1474">
        <v>7.4689999999999999E-3</v>
      </c>
      <c r="N2153" s="1475">
        <v>1.6178736015176653</v>
      </c>
      <c r="O2153" s="1475"/>
    </row>
    <row r="2154" spans="11:15">
      <c r="K2154" s="1472">
        <v>44211</v>
      </c>
      <c r="L2154" s="1473" t="s">
        <v>2127</v>
      </c>
      <c r="M2154" s="1474">
        <v>7.4689999999999999E-3</v>
      </c>
      <c r="N2154" s="1475">
        <v>1.6179944404969626</v>
      </c>
      <c r="O2154" s="1475"/>
    </row>
    <row r="2155" spans="11:15">
      <c r="K2155" s="1472">
        <v>44212</v>
      </c>
      <c r="L2155" s="1473"/>
      <c r="M2155" s="1474">
        <v>0</v>
      </c>
      <c r="N2155" s="1475">
        <v>1.6179944404969626</v>
      </c>
      <c r="O2155" s="1475"/>
    </row>
    <row r="2156" spans="11:15">
      <c r="K2156" s="1472">
        <v>44213</v>
      </c>
      <c r="L2156" s="1473"/>
      <c r="M2156" s="1474">
        <v>0</v>
      </c>
      <c r="N2156" s="1475">
        <v>1.6179944404969626</v>
      </c>
      <c r="O2156" s="1475"/>
    </row>
    <row r="2157" spans="11:15">
      <c r="K2157" s="1472">
        <v>44214</v>
      </c>
      <c r="L2157" s="1473" t="s">
        <v>2127</v>
      </c>
      <c r="M2157" s="1474">
        <v>7.4689999999999999E-3</v>
      </c>
      <c r="N2157" s="1475">
        <v>1.6181152885017231</v>
      </c>
      <c r="O2157" s="1475"/>
    </row>
    <row r="2158" spans="11:15">
      <c r="K2158" s="1472">
        <v>44215</v>
      </c>
      <c r="L2158" s="1473" t="s">
        <v>2127</v>
      </c>
      <c r="M2158" s="1474">
        <v>7.4689999999999999E-3</v>
      </c>
      <c r="N2158" s="1475">
        <v>1.6182361455326213</v>
      </c>
      <c r="O2158" s="1475"/>
    </row>
    <row r="2159" spans="11:15">
      <c r="K2159" s="1472">
        <v>44216</v>
      </c>
      <c r="L2159" s="1473" t="s">
        <v>2127</v>
      </c>
      <c r="M2159" s="1474">
        <v>7.4689999999999999E-3</v>
      </c>
      <c r="N2159" s="1475">
        <v>1.618357011590331</v>
      </c>
      <c r="O2159" s="1475"/>
    </row>
    <row r="2160" spans="11:15">
      <c r="K2160" s="1472">
        <v>44217</v>
      </c>
      <c r="L2160" s="1473" t="s">
        <v>2127</v>
      </c>
      <c r="M2160" s="1474">
        <v>7.4689999999999999E-3</v>
      </c>
      <c r="N2160" s="1475">
        <v>1.6184778866755265</v>
      </c>
      <c r="O2160" s="1475"/>
    </row>
    <row r="2161" spans="11:15">
      <c r="K2161" s="1472">
        <v>44218</v>
      </c>
      <c r="L2161" s="1473" t="s">
        <v>2127</v>
      </c>
      <c r="M2161" s="1474">
        <v>7.4689999999999999E-3</v>
      </c>
      <c r="N2161" s="1475">
        <v>1.6185987707888823</v>
      </c>
      <c r="O2161" s="1475"/>
    </row>
    <row r="2162" spans="11:15">
      <c r="K2162" s="1472">
        <v>44219</v>
      </c>
      <c r="L2162" s="1473"/>
      <c r="M2162" s="1474">
        <v>0</v>
      </c>
      <c r="N2162" s="1475">
        <v>1.6185987707888823</v>
      </c>
      <c r="O2162" s="1475"/>
    </row>
    <row r="2163" spans="11:15">
      <c r="K2163" s="1472">
        <v>44220</v>
      </c>
      <c r="L2163" s="1473"/>
      <c r="M2163" s="1474">
        <v>0</v>
      </c>
      <c r="N2163" s="1475">
        <v>1.6185987707888823</v>
      </c>
      <c r="O2163" s="1475"/>
    </row>
    <row r="2164" spans="11:15">
      <c r="K2164" s="1472">
        <v>44221</v>
      </c>
      <c r="L2164" s="1473" t="s">
        <v>2127</v>
      </c>
      <c r="M2164" s="1474">
        <v>7.4689999999999999E-3</v>
      </c>
      <c r="N2164" s="1475">
        <v>1.6187196639310724</v>
      </c>
      <c r="O2164" s="1475"/>
    </row>
    <row r="2165" spans="11:15">
      <c r="K2165" s="1472">
        <v>44222</v>
      </c>
      <c r="L2165" s="1473" t="s">
        <v>2127</v>
      </c>
      <c r="M2165" s="1474">
        <v>7.4689999999999999E-3</v>
      </c>
      <c r="N2165" s="1475">
        <v>1.6188405661027712</v>
      </c>
      <c r="O2165" s="1475"/>
    </row>
    <row r="2166" spans="11:15">
      <c r="K2166" s="1472">
        <v>44223</v>
      </c>
      <c r="L2166" s="1473" t="s">
        <v>2127</v>
      </c>
      <c r="M2166" s="1474">
        <v>7.4689999999999999E-3</v>
      </c>
      <c r="N2166" s="1475">
        <v>1.6189614773046532</v>
      </c>
      <c r="O2166" s="1475"/>
    </row>
    <row r="2167" spans="11:15">
      <c r="K2167" s="1472">
        <v>44224</v>
      </c>
      <c r="L2167" s="1473" t="s">
        <v>2127</v>
      </c>
      <c r="M2167" s="1474">
        <v>7.4689999999999999E-3</v>
      </c>
      <c r="N2167" s="1475">
        <v>1.6190823975373929</v>
      </c>
      <c r="O2167" s="1475"/>
    </row>
    <row r="2168" spans="11:15">
      <c r="K2168" s="1472">
        <v>44225</v>
      </c>
      <c r="L2168" s="1473" t="s">
        <v>2127</v>
      </c>
      <c r="M2168" s="1474">
        <v>7.4689999999999999E-3</v>
      </c>
      <c r="N2168" s="1475">
        <v>1.6192033268016648</v>
      </c>
      <c r="O2168" s="1475"/>
    </row>
    <row r="2169" spans="11:15">
      <c r="K2169" s="1472">
        <v>44226</v>
      </c>
      <c r="L2169" s="1473"/>
      <c r="M2169" s="1474">
        <v>0</v>
      </c>
      <c r="N2169" s="1475">
        <v>1.6192033268016648</v>
      </c>
      <c r="O2169" s="1475"/>
    </row>
    <row r="2170" spans="11:15">
      <c r="K2170" s="1472">
        <v>44227</v>
      </c>
      <c r="L2170" s="1473"/>
      <c r="M2170" s="1474">
        <v>0</v>
      </c>
      <c r="N2170" s="1475">
        <v>1.6192033268016648</v>
      </c>
      <c r="O2170" s="1475"/>
    </row>
    <row r="2171" spans="11:15">
      <c r="K2171" s="1472">
        <v>44228</v>
      </c>
      <c r="L2171" s="1473" t="s">
        <v>2127</v>
      </c>
      <c r="M2171" s="1474">
        <v>7.4689999999999999E-3</v>
      </c>
      <c r="N2171" s="1475">
        <v>1.6193242650981434</v>
      </c>
      <c r="O2171" s="1475"/>
    </row>
    <row r="2172" spans="11:15">
      <c r="K2172" s="1472">
        <v>44229</v>
      </c>
      <c r="L2172" s="1473" t="s">
        <v>2127</v>
      </c>
      <c r="M2172" s="1474">
        <v>7.4689999999999999E-3</v>
      </c>
      <c r="N2172" s="1475">
        <v>1.6194452124275034</v>
      </c>
      <c r="O2172" s="1475"/>
    </row>
    <row r="2173" spans="11:15">
      <c r="K2173" s="1472">
        <v>44230</v>
      </c>
      <c r="L2173" s="1473" t="s">
        <v>2127</v>
      </c>
      <c r="M2173" s="1474">
        <v>7.4689999999999999E-3</v>
      </c>
      <c r="N2173" s="1475">
        <v>1.6195661687904195</v>
      </c>
      <c r="O2173" s="1475"/>
    </row>
    <row r="2174" spans="11:15">
      <c r="K2174" s="1472">
        <v>44231</v>
      </c>
      <c r="L2174" s="1473" t="s">
        <v>2127</v>
      </c>
      <c r="M2174" s="1474">
        <v>7.4689999999999999E-3</v>
      </c>
      <c r="N2174" s="1475">
        <v>1.6196871341875663</v>
      </c>
      <c r="O2174" s="1475"/>
    </row>
    <row r="2175" spans="11:15">
      <c r="K2175" s="1472">
        <v>44232</v>
      </c>
      <c r="L2175" s="1473" t="s">
        <v>2127</v>
      </c>
      <c r="M2175" s="1474">
        <v>7.4689999999999999E-3</v>
      </c>
      <c r="N2175" s="1475">
        <v>1.6198081086196185</v>
      </c>
      <c r="O2175" s="1475"/>
    </row>
    <row r="2176" spans="11:15">
      <c r="K2176" s="1472">
        <v>44233</v>
      </c>
      <c r="L2176" s="1473"/>
      <c r="M2176" s="1474">
        <v>0</v>
      </c>
      <c r="N2176" s="1475">
        <v>1.6198081086196185</v>
      </c>
      <c r="O2176" s="1475"/>
    </row>
    <row r="2177" spans="11:15">
      <c r="K2177" s="1472">
        <v>44234</v>
      </c>
      <c r="L2177" s="1473"/>
      <c r="M2177" s="1474">
        <v>0</v>
      </c>
      <c r="N2177" s="1475">
        <v>1.6198081086196185</v>
      </c>
      <c r="O2177" s="1475"/>
    </row>
    <row r="2178" spans="11:15">
      <c r="K2178" s="1472">
        <v>44235</v>
      </c>
      <c r="L2178" s="1473" t="s">
        <v>2127</v>
      </c>
      <c r="M2178" s="1474">
        <v>7.4689999999999999E-3</v>
      </c>
      <c r="N2178" s="1475">
        <v>1.6199290920872513</v>
      </c>
      <c r="O2178" s="1475"/>
    </row>
    <row r="2179" spans="11:15">
      <c r="K2179" s="1472">
        <v>44236</v>
      </c>
      <c r="L2179" s="1473" t="s">
        <v>2127</v>
      </c>
      <c r="M2179" s="1474">
        <v>7.4689999999999999E-3</v>
      </c>
      <c r="N2179" s="1475">
        <v>1.6200500845911392</v>
      </c>
      <c r="O2179" s="1475"/>
    </row>
    <row r="2180" spans="11:15">
      <c r="K2180" s="1472">
        <v>44237</v>
      </c>
      <c r="L2180" s="1473" t="s">
        <v>2127</v>
      </c>
      <c r="M2180" s="1474">
        <v>7.4689999999999999E-3</v>
      </c>
      <c r="N2180" s="1475">
        <v>1.6201710861319571</v>
      </c>
      <c r="O2180" s="1475"/>
    </row>
    <row r="2181" spans="11:15">
      <c r="K2181" s="1472">
        <v>44238</v>
      </c>
      <c r="L2181" s="1473" t="s">
        <v>2127</v>
      </c>
      <c r="M2181" s="1474">
        <v>7.4689999999999999E-3</v>
      </c>
      <c r="N2181" s="1475">
        <v>1.6202920967103802</v>
      </c>
      <c r="O2181" s="1475"/>
    </row>
    <row r="2182" spans="11:15">
      <c r="K2182" s="1472">
        <v>44239</v>
      </c>
      <c r="L2182" s="1473" t="s">
        <v>2127</v>
      </c>
      <c r="M2182" s="1474">
        <v>7.4689999999999999E-3</v>
      </c>
      <c r="N2182" s="1475">
        <v>1.6204131163270834</v>
      </c>
      <c r="O2182" s="1475"/>
    </row>
    <row r="2183" spans="11:15">
      <c r="K2183" s="1472">
        <v>44240</v>
      </c>
      <c r="L2183" s="1473"/>
      <c r="M2183" s="1474">
        <v>0</v>
      </c>
      <c r="N2183" s="1475">
        <v>1.6204131163270834</v>
      </c>
      <c r="O2183" s="1475"/>
    </row>
    <row r="2184" spans="11:15">
      <c r="K2184" s="1472">
        <v>44241</v>
      </c>
      <c r="L2184" s="1473"/>
      <c r="M2184" s="1474">
        <v>0</v>
      </c>
      <c r="N2184" s="1475">
        <v>1.6204131163270834</v>
      </c>
      <c r="O2184" s="1475"/>
    </row>
    <row r="2185" spans="11:15">
      <c r="K2185" s="1472">
        <v>44242</v>
      </c>
      <c r="L2185" s="1473"/>
      <c r="M2185" s="1474">
        <v>0</v>
      </c>
      <c r="N2185" s="1475">
        <v>1.6204131163270834</v>
      </c>
      <c r="O2185" s="1475"/>
    </row>
    <row r="2186" spans="11:15">
      <c r="K2186" s="1472">
        <v>44243</v>
      </c>
      <c r="L2186" s="1473"/>
      <c r="M2186" s="1474">
        <v>0</v>
      </c>
      <c r="N2186" s="1475">
        <v>1.6204131163270834</v>
      </c>
      <c r="O2186" s="1475"/>
    </row>
    <row r="2187" spans="11:15">
      <c r="K2187" s="1472">
        <v>44244</v>
      </c>
      <c r="L2187" s="1473" t="s">
        <v>2127</v>
      </c>
      <c r="M2187" s="1474">
        <v>7.4689999999999999E-3</v>
      </c>
      <c r="N2187" s="1475">
        <v>1.6205341449827417</v>
      </c>
      <c r="O2187" s="1475"/>
    </row>
    <row r="2188" spans="11:15">
      <c r="K2188" s="1472">
        <v>44245</v>
      </c>
      <c r="L2188" s="1473" t="s">
        <v>2127</v>
      </c>
      <c r="M2188" s="1474">
        <v>7.4689999999999999E-3</v>
      </c>
      <c r="N2188" s="1475">
        <v>1.6206551826780304</v>
      </c>
      <c r="O2188" s="1475"/>
    </row>
    <row r="2189" spans="11:15">
      <c r="K2189" s="1472">
        <v>44246</v>
      </c>
      <c r="L2189" s="1473" t="s">
        <v>2127</v>
      </c>
      <c r="M2189" s="1474">
        <v>7.4689999999999999E-3</v>
      </c>
      <c r="N2189" s="1475">
        <v>1.6207762294136245</v>
      </c>
      <c r="O2189" s="1475"/>
    </row>
    <row r="2190" spans="11:15">
      <c r="K2190" s="1472">
        <v>44247</v>
      </c>
      <c r="L2190" s="1473"/>
      <c r="M2190" s="1474">
        <v>0</v>
      </c>
      <c r="N2190" s="1475">
        <v>1.6207762294136245</v>
      </c>
      <c r="O2190" s="1475"/>
    </row>
    <row r="2191" spans="11:15">
      <c r="K2191" s="1472">
        <v>44248</v>
      </c>
      <c r="L2191" s="1473"/>
      <c r="M2191" s="1474">
        <v>0</v>
      </c>
      <c r="N2191" s="1475">
        <v>1.6207762294136245</v>
      </c>
      <c r="O2191" s="1475"/>
    </row>
    <row r="2192" spans="11:15">
      <c r="K2192" s="1472">
        <v>44249</v>
      </c>
      <c r="L2192" s="1473" t="s">
        <v>2127</v>
      </c>
      <c r="M2192" s="1474">
        <v>7.4689999999999999E-3</v>
      </c>
      <c r="N2192" s="1475">
        <v>1.6208972851901993</v>
      </c>
      <c r="O2192" s="1475"/>
    </row>
    <row r="2193" spans="11:15">
      <c r="K2193" s="1472">
        <v>44250</v>
      </c>
      <c r="L2193" s="1473" t="s">
        <v>2127</v>
      </c>
      <c r="M2193" s="1474">
        <v>7.4689999999999999E-3</v>
      </c>
      <c r="N2193" s="1475">
        <v>1.6210183500084301</v>
      </c>
      <c r="O2193" s="1475"/>
    </row>
    <row r="2194" spans="11:15">
      <c r="K2194" s="1472">
        <v>44251</v>
      </c>
      <c r="L2194" s="1473" t="s">
        <v>2127</v>
      </c>
      <c r="M2194" s="1474">
        <v>7.4689999999999999E-3</v>
      </c>
      <c r="N2194" s="1475">
        <v>1.621139423868992</v>
      </c>
      <c r="O2194" s="1475"/>
    </row>
    <row r="2195" spans="11:15">
      <c r="K2195" s="1472">
        <v>44252</v>
      </c>
      <c r="L2195" s="1473" t="s">
        <v>2127</v>
      </c>
      <c r="M2195" s="1474">
        <v>7.4689999999999999E-3</v>
      </c>
      <c r="N2195" s="1475">
        <v>1.6212605067725607</v>
      </c>
      <c r="O2195" s="1475"/>
    </row>
    <row r="2196" spans="11:15">
      <c r="K2196" s="1472">
        <v>44253</v>
      </c>
      <c r="L2196" s="1473" t="s">
        <v>2127</v>
      </c>
      <c r="M2196" s="1474">
        <v>7.4689999999999999E-3</v>
      </c>
      <c r="N2196" s="1475">
        <v>1.6213815987198115</v>
      </c>
      <c r="O2196" s="1475"/>
    </row>
    <row r="2197" spans="11:15">
      <c r="K2197" s="1472">
        <v>44254</v>
      </c>
      <c r="L2197" s="1473"/>
      <c r="M2197" s="1474">
        <v>0</v>
      </c>
      <c r="N2197" s="1475">
        <v>1.6213815987198115</v>
      </c>
      <c r="O2197" s="1475"/>
    </row>
    <row r="2198" spans="11:15">
      <c r="K2198" s="1472">
        <v>44255</v>
      </c>
      <c r="L2198" s="1473"/>
      <c r="M2198" s="1474">
        <v>0</v>
      </c>
      <c r="N2198" s="1475">
        <v>1.6213815987198115</v>
      </c>
      <c r="O2198" s="1475"/>
    </row>
    <row r="2199" spans="11:15">
      <c r="K2199" s="1472">
        <v>44256</v>
      </c>
      <c r="L2199" s="1473" t="s">
        <v>2127</v>
      </c>
      <c r="M2199" s="1474">
        <v>7.4689999999999999E-3</v>
      </c>
      <c r="N2199" s="1475">
        <v>1.6215026997114197</v>
      </c>
      <c r="O2199" s="1475"/>
    </row>
    <row r="2200" spans="11:15">
      <c r="K2200" s="1472">
        <v>44257</v>
      </c>
      <c r="L2200" s="1473" t="s">
        <v>2127</v>
      </c>
      <c r="M2200" s="1474">
        <v>7.4689999999999999E-3</v>
      </c>
      <c r="N2200" s="1475">
        <v>1.6216238097480611</v>
      </c>
      <c r="O2200" s="1475"/>
    </row>
    <row r="2201" spans="11:15">
      <c r="K2201" s="1472">
        <v>44258</v>
      </c>
      <c r="L2201" s="1473" t="s">
        <v>2127</v>
      </c>
      <c r="M2201" s="1474">
        <v>7.4689999999999999E-3</v>
      </c>
      <c r="N2201" s="1475">
        <v>1.6217449288304111</v>
      </c>
      <c r="O2201" s="1475"/>
    </row>
    <row r="2202" spans="11:15">
      <c r="K2202" s="1472">
        <v>44259</v>
      </c>
      <c r="L2202" s="1473" t="s">
        <v>2127</v>
      </c>
      <c r="M2202" s="1474">
        <v>7.4689999999999999E-3</v>
      </c>
      <c r="N2202" s="1475">
        <v>1.6218660569591454</v>
      </c>
      <c r="O2202" s="1475"/>
    </row>
    <row r="2203" spans="11:15">
      <c r="K2203" s="1472">
        <v>44260</v>
      </c>
      <c r="L2203" s="1473" t="s">
        <v>2127</v>
      </c>
      <c r="M2203" s="1474">
        <v>7.4689999999999999E-3</v>
      </c>
      <c r="N2203" s="1475">
        <v>1.6219871941349395</v>
      </c>
      <c r="O2203" s="1475"/>
    </row>
    <row r="2204" spans="11:15">
      <c r="K2204" s="1472">
        <v>44261</v>
      </c>
      <c r="L2204" s="1473"/>
      <c r="M2204" s="1474">
        <v>0</v>
      </c>
      <c r="N2204" s="1475">
        <v>1.6219871941349395</v>
      </c>
      <c r="O2204" s="1475"/>
    </row>
    <row r="2205" spans="11:15">
      <c r="K2205" s="1472">
        <v>44262</v>
      </c>
      <c r="L2205" s="1473"/>
      <c r="M2205" s="1474">
        <v>0</v>
      </c>
      <c r="N2205" s="1475">
        <v>1.6219871941349395</v>
      </c>
      <c r="O2205" s="1475"/>
    </row>
    <row r="2206" spans="11:15">
      <c r="K2206" s="1472">
        <v>44263</v>
      </c>
      <c r="L2206" s="1473" t="s">
        <v>2127</v>
      </c>
      <c r="M2206" s="1474">
        <v>7.4689999999999999E-3</v>
      </c>
      <c r="N2206" s="1475">
        <v>1.6221083403584693</v>
      </c>
      <c r="O2206" s="1475"/>
    </row>
    <row r="2207" spans="11:15">
      <c r="K2207" s="1472">
        <v>44264</v>
      </c>
      <c r="L2207" s="1473" t="s">
        <v>2127</v>
      </c>
      <c r="M2207" s="1474">
        <v>7.4689999999999999E-3</v>
      </c>
      <c r="N2207" s="1475">
        <v>1.6222294956304106</v>
      </c>
      <c r="O2207" s="1475"/>
    </row>
    <row r="2208" spans="11:15">
      <c r="K2208" s="1472">
        <v>44265</v>
      </c>
      <c r="L2208" s="1473" t="s">
        <v>2127</v>
      </c>
      <c r="M2208" s="1474">
        <v>7.4689999999999999E-3</v>
      </c>
      <c r="N2208" s="1475">
        <v>1.6223506599514392</v>
      </c>
      <c r="O2208" s="1475"/>
    </row>
    <row r="2209" spans="11:15">
      <c r="K2209" s="1472">
        <v>44266</v>
      </c>
      <c r="L2209" s="1473" t="s">
        <v>2127</v>
      </c>
      <c r="M2209" s="1474">
        <v>7.4689999999999999E-3</v>
      </c>
      <c r="N2209" s="1475">
        <v>1.622471833322231</v>
      </c>
      <c r="O2209" s="1475"/>
    </row>
    <row r="2210" spans="11:15">
      <c r="K2210" s="1472">
        <v>44267</v>
      </c>
      <c r="L2210" s="1473" t="s">
        <v>2127</v>
      </c>
      <c r="M2210" s="1474">
        <v>7.4689999999999999E-3</v>
      </c>
      <c r="N2210" s="1475">
        <v>1.6225930157434618</v>
      </c>
      <c r="O2210" s="1475"/>
    </row>
    <row r="2211" spans="11:15">
      <c r="K2211" s="1472">
        <v>44268</v>
      </c>
      <c r="L2211" s="1473"/>
      <c r="M2211" s="1474">
        <v>0</v>
      </c>
      <c r="N2211" s="1475">
        <v>1.6225930157434618</v>
      </c>
      <c r="O2211" s="1475"/>
    </row>
    <row r="2212" spans="11:15">
      <c r="K2212" s="1472">
        <v>44269</v>
      </c>
      <c r="L2212" s="1473"/>
      <c r="M2212" s="1474">
        <v>0</v>
      </c>
      <c r="N2212" s="1475">
        <v>1.6225930157434618</v>
      </c>
      <c r="O2212" s="1475"/>
    </row>
    <row r="2213" spans="11:15">
      <c r="K2213" s="1472">
        <v>44270</v>
      </c>
      <c r="L2213" s="1473" t="s">
        <v>2127</v>
      </c>
      <c r="M2213" s="1474">
        <v>7.4689999999999999E-3</v>
      </c>
      <c r="N2213" s="1475">
        <v>1.6227142072158076</v>
      </c>
      <c r="O2213" s="1475"/>
    </row>
    <row r="2214" spans="11:15">
      <c r="K2214" s="1472">
        <v>44271</v>
      </c>
      <c r="L2214" s="1473" t="s">
        <v>2127</v>
      </c>
      <c r="M2214" s="1474">
        <v>7.4689999999999999E-3</v>
      </c>
      <c r="N2214" s="1475">
        <v>1.6228354077399445</v>
      </c>
      <c r="O2214" s="1475"/>
    </row>
    <row r="2215" spans="11:15">
      <c r="K2215" s="1472">
        <v>44272</v>
      </c>
      <c r="L2215" s="1473" t="s">
        <v>2127</v>
      </c>
      <c r="M2215" s="1474">
        <v>7.4689999999999999E-3</v>
      </c>
      <c r="N2215" s="1475">
        <v>1.6229566173165484</v>
      </c>
      <c r="O2215" s="1475"/>
    </row>
    <row r="2216" spans="11:15">
      <c r="K2216" s="1472">
        <v>44273</v>
      </c>
      <c r="L2216" s="1473" t="s">
        <v>2127</v>
      </c>
      <c r="M2216" s="1474">
        <v>1.0378999999999999E-2</v>
      </c>
      <c r="N2216" s="1475">
        <v>1.6231250639838597</v>
      </c>
      <c r="O2216" s="1475"/>
    </row>
    <row r="2217" spans="11:15">
      <c r="K2217" s="1472">
        <v>44274</v>
      </c>
      <c r="L2217" s="1473" t="s">
        <v>2127</v>
      </c>
      <c r="M2217" s="1474">
        <v>1.0378999999999999E-2</v>
      </c>
      <c r="N2217" s="1475">
        <v>1.6232935281342507</v>
      </c>
      <c r="O2217" s="1475"/>
    </row>
    <row r="2218" spans="11:15">
      <c r="K2218" s="1472">
        <v>44275</v>
      </c>
      <c r="L2218" s="1473"/>
      <c r="M2218" s="1474">
        <v>0</v>
      </c>
      <c r="N2218" s="1475">
        <v>1.6232935281342507</v>
      </c>
      <c r="O2218" s="1475"/>
    </row>
    <row r="2219" spans="11:15">
      <c r="K2219" s="1472">
        <v>44276</v>
      </c>
      <c r="L2219" s="1473"/>
      <c r="M2219" s="1474">
        <v>0</v>
      </c>
      <c r="N2219" s="1475">
        <v>1.6232935281342507</v>
      </c>
      <c r="O2219" s="1475"/>
    </row>
    <row r="2220" spans="11:15">
      <c r="K2220" s="1472">
        <v>44277</v>
      </c>
      <c r="L2220" s="1473" t="s">
        <v>2127</v>
      </c>
      <c r="M2220" s="1474">
        <v>1.0378999999999999E-2</v>
      </c>
      <c r="N2220" s="1475">
        <v>1.6234620097695358</v>
      </c>
      <c r="O2220" s="1475"/>
    </row>
    <row r="2221" spans="11:15">
      <c r="K2221" s="1472">
        <v>44278</v>
      </c>
      <c r="L2221" s="1473" t="s">
        <v>2127</v>
      </c>
      <c r="M2221" s="1474">
        <v>1.0378999999999999E-2</v>
      </c>
      <c r="N2221" s="1475">
        <v>1.6236305088915299</v>
      </c>
      <c r="O2221" s="1475"/>
    </row>
    <row r="2222" spans="11:15">
      <c r="K2222" s="1472">
        <v>44279</v>
      </c>
      <c r="L2222" s="1473" t="s">
        <v>2127</v>
      </c>
      <c r="M2222" s="1474">
        <v>1.0378999999999999E-2</v>
      </c>
      <c r="N2222" s="1475">
        <v>1.6237990255020478</v>
      </c>
      <c r="O2222" s="1475"/>
    </row>
    <row r="2223" spans="11:15">
      <c r="K2223" s="1472">
        <v>44280</v>
      </c>
      <c r="L2223" s="1473" t="s">
        <v>2127</v>
      </c>
      <c r="M2223" s="1474">
        <v>1.0378999999999999E-2</v>
      </c>
      <c r="N2223" s="1475">
        <v>1.6239675596029048</v>
      </c>
      <c r="O2223" s="1475"/>
    </row>
    <row r="2224" spans="11:15">
      <c r="K2224" s="1472">
        <v>44281</v>
      </c>
      <c r="L2224" s="1473" t="s">
        <v>2127</v>
      </c>
      <c r="M2224" s="1474">
        <v>1.0378999999999999E-2</v>
      </c>
      <c r="N2224" s="1475">
        <v>1.6241361111959161</v>
      </c>
      <c r="O2224" s="1475"/>
    </row>
    <row r="2225" spans="11:15">
      <c r="K2225" s="1472">
        <v>44282</v>
      </c>
      <c r="L2225" s="1473"/>
      <c r="M2225" s="1474">
        <v>0</v>
      </c>
      <c r="N2225" s="1475">
        <v>1.6241361111959161</v>
      </c>
      <c r="O2225" s="1475"/>
    </row>
    <row r="2226" spans="11:15">
      <c r="K2226" s="1472">
        <v>44283</v>
      </c>
      <c r="L2226" s="1473"/>
      <c r="M2226" s="1474">
        <v>0</v>
      </c>
      <c r="N2226" s="1475">
        <v>1.6241361111959161</v>
      </c>
      <c r="O2226" s="1475"/>
    </row>
    <row r="2227" spans="11:15">
      <c r="K2227" s="1472">
        <v>44284</v>
      </c>
      <c r="L2227" s="1473" t="s">
        <v>2127</v>
      </c>
      <c r="M2227" s="1474">
        <v>1.0378999999999999E-2</v>
      </c>
      <c r="N2227" s="1475">
        <v>1.6243046802828971</v>
      </c>
      <c r="O2227" s="1475"/>
    </row>
    <row r="2228" spans="11:15">
      <c r="K2228" s="1472">
        <v>44285</v>
      </c>
      <c r="L2228" s="1473" t="s">
        <v>2127</v>
      </c>
      <c r="M2228" s="1474">
        <v>1.0378999999999999E-2</v>
      </c>
      <c r="N2228" s="1475">
        <v>1.6244732668656638</v>
      </c>
      <c r="O2228" s="1475"/>
    </row>
    <row r="2229" spans="11:15">
      <c r="K2229" s="1472">
        <v>44286</v>
      </c>
      <c r="L2229" s="1473" t="s">
        <v>2127</v>
      </c>
      <c r="M2229" s="1474">
        <v>1.0378999999999999E-2</v>
      </c>
      <c r="N2229" s="1475">
        <v>1.624641870946032</v>
      </c>
      <c r="O2229" s="1475"/>
    </row>
    <row r="2230" spans="11:15">
      <c r="K2230" s="1472">
        <v>44287</v>
      </c>
      <c r="L2230" s="1473" t="s">
        <v>2127</v>
      </c>
      <c r="M2230" s="1474">
        <v>1.0378999999999999E-2</v>
      </c>
      <c r="N2230" s="1475">
        <v>1.6248104925258176</v>
      </c>
      <c r="O2230" s="1475"/>
    </row>
    <row r="2231" spans="11:15">
      <c r="K2231" s="1472">
        <v>44288</v>
      </c>
      <c r="L2231" s="1473"/>
      <c r="M2231" s="1474">
        <v>0</v>
      </c>
      <c r="N2231" s="1475">
        <v>1.6248104925258176</v>
      </c>
      <c r="O2231" s="1475"/>
    </row>
    <row r="2232" spans="11:15">
      <c r="K2232" s="1472">
        <v>44289</v>
      </c>
      <c r="L2232" s="1473"/>
      <c r="M2232" s="1474">
        <v>0</v>
      </c>
      <c r="N2232" s="1475">
        <v>1.6248104925258176</v>
      </c>
      <c r="O2232" s="1475"/>
    </row>
    <row r="2233" spans="11:15">
      <c r="K2233" s="1472">
        <v>44290</v>
      </c>
      <c r="L2233" s="1473"/>
      <c r="M2233" s="1474">
        <v>0</v>
      </c>
      <c r="N2233" s="1475">
        <v>1.6248104925258176</v>
      </c>
      <c r="O2233" s="1475"/>
    </row>
    <row r="2234" spans="11:15">
      <c r="K2234" s="1472">
        <v>44291</v>
      </c>
      <c r="L2234" s="1473" t="s">
        <v>2127</v>
      </c>
      <c r="M2234" s="1474">
        <v>1.0378999999999999E-2</v>
      </c>
      <c r="N2234" s="1475">
        <v>1.6249791316068369</v>
      </c>
      <c r="O2234" s="1475"/>
    </row>
    <row r="2235" spans="11:15">
      <c r="K2235" s="1472">
        <v>44292</v>
      </c>
      <c r="L2235" s="1473" t="s">
        <v>2127</v>
      </c>
      <c r="M2235" s="1474">
        <v>1.0378999999999999E-2</v>
      </c>
      <c r="N2235" s="1475">
        <v>1.6251477881909064</v>
      </c>
      <c r="O2235" s="1475"/>
    </row>
    <row r="2236" spans="11:15">
      <c r="K2236" s="1472">
        <v>44293</v>
      </c>
      <c r="L2236" s="1473" t="s">
        <v>2127</v>
      </c>
      <c r="M2236" s="1474">
        <v>1.0378999999999999E-2</v>
      </c>
      <c r="N2236" s="1475">
        <v>1.6253164622798428</v>
      </c>
      <c r="O2236" s="1475"/>
    </row>
    <row r="2237" spans="11:15">
      <c r="K2237" s="1472">
        <v>44294</v>
      </c>
      <c r="L2237" s="1473" t="s">
        <v>2127</v>
      </c>
      <c r="M2237" s="1474">
        <v>1.0378999999999999E-2</v>
      </c>
      <c r="N2237" s="1475">
        <v>1.6254851538754629</v>
      </c>
      <c r="O2237" s="1475"/>
    </row>
    <row r="2238" spans="11:15">
      <c r="K2238" s="1472">
        <v>44295</v>
      </c>
      <c r="L2238" s="1473" t="s">
        <v>2127</v>
      </c>
      <c r="M2238" s="1474">
        <v>1.0378999999999999E-2</v>
      </c>
      <c r="N2238" s="1475">
        <v>1.6256538629795838</v>
      </c>
      <c r="O2238" s="1475"/>
    </row>
    <row r="2239" spans="11:15">
      <c r="K2239" s="1472">
        <v>44296</v>
      </c>
      <c r="L2239" s="1473"/>
      <c r="M2239" s="1474">
        <v>0</v>
      </c>
      <c r="N2239" s="1475">
        <v>1.6256538629795838</v>
      </c>
      <c r="O2239" s="1475"/>
    </row>
    <row r="2240" spans="11:15">
      <c r="K2240" s="1472">
        <v>44297</v>
      </c>
      <c r="L2240" s="1473"/>
      <c r="M2240" s="1474">
        <v>0</v>
      </c>
      <c r="N2240" s="1475">
        <v>1.6256538629795838</v>
      </c>
      <c r="O2240" s="1475"/>
    </row>
    <row r="2241" spans="11:15">
      <c r="K2241" s="1472">
        <v>44298</v>
      </c>
      <c r="L2241" s="1473" t="s">
        <v>2127</v>
      </c>
      <c r="M2241" s="1474">
        <v>1.0378999999999999E-2</v>
      </c>
      <c r="N2241" s="1475">
        <v>1.6258225895940226</v>
      </c>
      <c r="O2241" s="1475"/>
    </row>
    <row r="2242" spans="11:15">
      <c r="K2242" s="1472">
        <v>44299</v>
      </c>
      <c r="L2242" s="1473" t="s">
        <v>2127</v>
      </c>
      <c r="M2242" s="1474">
        <v>1.0378999999999999E-2</v>
      </c>
      <c r="N2242" s="1475">
        <v>1.6259913337205967</v>
      </c>
      <c r="O2242" s="1475"/>
    </row>
    <row r="2243" spans="11:15">
      <c r="K2243" s="1472">
        <v>44300</v>
      </c>
      <c r="L2243" s="1473" t="s">
        <v>2127</v>
      </c>
      <c r="M2243" s="1474">
        <v>1.0378999999999999E-2</v>
      </c>
      <c r="N2243" s="1475">
        <v>1.6261600953611237</v>
      </c>
      <c r="O2243" s="1475"/>
    </row>
    <row r="2244" spans="11:15">
      <c r="K2244" s="1472">
        <v>44301</v>
      </c>
      <c r="L2244" s="1473" t="s">
        <v>2127</v>
      </c>
      <c r="M2244" s="1474">
        <v>1.0378999999999999E-2</v>
      </c>
      <c r="N2244" s="1475">
        <v>1.6263288745174214</v>
      </c>
      <c r="O2244" s="1475"/>
    </row>
    <row r="2245" spans="11:15">
      <c r="K2245" s="1472">
        <v>44302</v>
      </c>
      <c r="L2245" s="1473" t="s">
        <v>2127</v>
      </c>
      <c r="M2245" s="1474">
        <v>1.0378999999999999E-2</v>
      </c>
      <c r="N2245" s="1475">
        <v>1.6264976711913075</v>
      </c>
      <c r="O2245" s="1475"/>
    </row>
    <row r="2246" spans="11:15">
      <c r="K2246" s="1472">
        <v>44303</v>
      </c>
      <c r="L2246" s="1473"/>
      <c r="M2246" s="1474">
        <v>0</v>
      </c>
      <c r="N2246" s="1475">
        <v>1.6264976711913075</v>
      </c>
      <c r="O2246" s="1475"/>
    </row>
    <row r="2247" spans="11:15">
      <c r="K2247" s="1472">
        <v>44304</v>
      </c>
      <c r="L2247" s="1473"/>
      <c r="M2247" s="1474">
        <v>0</v>
      </c>
      <c r="N2247" s="1475">
        <v>1.6264976711913075</v>
      </c>
      <c r="O2247" s="1475"/>
    </row>
    <row r="2248" spans="11:15">
      <c r="K2248" s="1472">
        <v>44305</v>
      </c>
      <c r="L2248" s="1473" t="s">
        <v>2127</v>
      </c>
      <c r="M2248" s="1474">
        <v>1.0378999999999999E-2</v>
      </c>
      <c r="N2248" s="1475">
        <v>1.6266664853846005</v>
      </c>
      <c r="O2248" s="1475"/>
    </row>
    <row r="2249" spans="11:15">
      <c r="K2249" s="1472">
        <v>44306</v>
      </c>
      <c r="L2249" s="1473" t="s">
        <v>2127</v>
      </c>
      <c r="M2249" s="1474">
        <v>1.0378999999999999E-2</v>
      </c>
      <c r="N2249" s="1475">
        <v>1.6268353170991185</v>
      </c>
      <c r="O2249" s="1475"/>
    </row>
    <row r="2250" spans="11:15">
      <c r="K2250" s="1472">
        <v>44307</v>
      </c>
      <c r="L2250" s="1473"/>
      <c r="M2250" s="1474">
        <v>0</v>
      </c>
      <c r="N2250" s="1475">
        <v>1.6268353170991185</v>
      </c>
      <c r="O2250" s="1475"/>
    </row>
    <row r="2251" spans="11:15">
      <c r="K2251" s="1472">
        <v>44308</v>
      </c>
      <c r="L2251" s="1473" t="s">
        <v>2127</v>
      </c>
      <c r="M2251" s="1474">
        <v>1.0378999999999999E-2</v>
      </c>
      <c r="N2251" s="1475">
        <v>1.6270041663366803</v>
      </c>
      <c r="O2251" s="1475"/>
    </row>
    <row r="2252" spans="11:15">
      <c r="K2252" s="1472">
        <v>44309</v>
      </c>
      <c r="L2252" s="1473" t="s">
        <v>2127</v>
      </c>
      <c r="M2252" s="1474">
        <v>1.0378999999999999E-2</v>
      </c>
      <c r="N2252" s="1475">
        <v>1.6271730330991045</v>
      </c>
      <c r="O2252" s="1475"/>
    </row>
    <row r="2253" spans="11:15">
      <c r="K2253" s="1472">
        <v>44310</v>
      </c>
      <c r="L2253" s="1473"/>
      <c r="M2253" s="1474">
        <v>0</v>
      </c>
      <c r="N2253" s="1475">
        <v>1.6271730330991045</v>
      </c>
      <c r="O2253" s="1475"/>
    </row>
    <row r="2254" spans="11:15">
      <c r="K2254" s="1472">
        <v>44311</v>
      </c>
      <c r="L2254" s="1473"/>
      <c r="M2254" s="1474">
        <v>0</v>
      </c>
      <c r="N2254" s="1475">
        <v>1.6271730330991045</v>
      </c>
      <c r="O2254" s="1475"/>
    </row>
    <row r="2255" spans="11:15">
      <c r="K2255" s="1472">
        <v>44312</v>
      </c>
      <c r="L2255" s="1473" t="s">
        <v>2127</v>
      </c>
      <c r="M2255" s="1474">
        <v>1.0378999999999999E-2</v>
      </c>
      <c r="N2255" s="1475">
        <v>1.62734191738821</v>
      </c>
      <c r="O2255" s="1475"/>
    </row>
    <row r="2256" spans="11:15">
      <c r="K2256" s="1472">
        <v>44313</v>
      </c>
      <c r="L2256" s="1473" t="s">
        <v>2127</v>
      </c>
      <c r="M2256" s="1474">
        <v>1.0378999999999999E-2</v>
      </c>
      <c r="N2256" s="1475">
        <v>1.6275108192058159</v>
      </c>
      <c r="O2256" s="1475"/>
    </row>
    <row r="2257" spans="11:15">
      <c r="K2257" s="1472">
        <v>44314</v>
      </c>
      <c r="L2257" s="1473" t="s">
        <v>2127</v>
      </c>
      <c r="M2257" s="1474">
        <v>1.0378999999999999E-2</v>
      </c>
      <c r="N2257" s="1475">
        <v>1.6276797385537414</v>
      </c>
      <c r="O2257" s="1475"/>
    </row>
    <row r="2258" spans="11:15">
      <c r="K2258" s="1472">
        <v>44315</v>
      </c>
      <c r="L2258" s="1473" t="s">
        <v>2127</v>
      </c>
      <c r="M2258" s="1474">
        <v>1.0378999999999999E-2</v>
      </c>
      <c r="N2258" s="1475">
        <v>1.627848675433806</v>
      </c>
      <c r="O2258" s="1475"/>
    </row>
    <row r="2259" spans="11:15">
      <c r="K2259" s="1472">
        <v>44316</v>
      </c>
      <c r="L2259" s="1473" t="s">
        <v>2127</v>
      </c>
      <c r="M2259" s="1474">
        <v>1.0378999999999999E-2</v>
      </c>
      <c r="N2259" s="1475">
        <v>1.6280176298478293</v>
      </c>
      <c r="O2259" s="1475"/>
    </row>
    <row r="2260" spans="11:15">
      <c r="K2260" s="1472">
        <v>44317</v>
      </c>
      <c r="L2260" s="1473"/>
      <c r="M2260" s="1474">
        <v>0</v>
      </c>
      <c r="N2260" s="1475">
        <v>1.6280176298478293</v>
      </c>
      <c r="O2260" s="1475"/>
    </row>
    <row r="2261" spans="11:15">
      <c r="K2261" s="1472">
        <v>44318</v>
      </c>
      <c r="L2261" s="1473"/>
      <c r="M2261" s="1474">
        <v>0</v>
      </c>
      <c r="N2261" s="1475">
        <v>1.6280176298478293</v>
      </c>
      <c r="O2261" s="1475"/>
    </row>
    <row r="2262" spans="11:15">
      <c r="K2262" s="1472">
        <v>44319</v>
      </c>
      <c r="L2262" s="1473" t="s">
        <v>2127</v>
      </c>
      <c r="M2262" s="1474">
        <v>1.0378999999999999E-2</v>
      </c>
      <c r="N2262" s="1475">
        <v>1.6281866017976312</v>
      </c>
      <c r="O2262" s="1475"/>
    </row>
    <row r="2263" spans="11:15">
      <c r="K2263" s="1472">
        <v>44320</v>
      </c>
      <c r="L2263" s="1473" t="s">
        <v>2127</v>
      </c>
      <c r="M2263" s="1474">
        <v>1.0378999999999999E-2</v>
      </c>
      <c r="N2263" s="1475">
        <v>1.6283555912850318</v>
      </c>
      <c r="O2263" s="1475"/>
    </row>
    <row r="2264" spans="11:15">
      <c r="K2264" s="1472">
        <v>44321</v>
      </c>
      <c r="L2264" s="1473" t="s">
        <v>2127</v>
      </c>
      <c r="M2264" s="1474">
        <v>1.0378999999999999E-2</v>
      </c>
      <c r="N2264" s="1475">
        <v>1.6285245983118515</v>
      </c>
      <c r="O2264" s="1475"/>
    </row>
    <row r="2265" spans="11:15">
      <c r="K2265" s="1472">
        <v>44322</v>
      </c>
      <c r="L2265" s="1473" t="s">
        <v>2127</v>
      </c>
      <c r="M2265" s="1474">
        <v>1.3269E-2</v>
      </c>
      <c r="N2265" s="1475">
        <v>1.6287406872408015</v>
      </c>
      <c r="O2265" s="1475"/>
    </row>
    <row r="2266" spans="11:15">
      <c r="K2266" s="1472">
        <v>44323</v>
      </c>
      <c r="L2266" s="1473" t="s">
        <v>2127</v>
      </c>
      <c r="M2266" s="1474">
        <v>1.3269E-2</v>
      </c>
      <c r="N2266" s="1475">
        <v>1.6289568048425915</v>
      </c>
      <c r="O2266" s="1475"/>
    </row>
    <row r="2267" spans="11:15">
      <c r="K2267" s="1472">
        <v>44324</v>
      </c>
      <c r="L2267" s="1473"/>
      <c r="M2267" s="1474">
        <v>0</v>
      </c>
      <c r="N2267" s="1475">
        <v>1.6289568048425915</v>
      </c>
      <c r="O2267" s="1475"/>
    </row>
    <row r="2268" spans="11:15">
      <c r="K2268" s="1472">
        <v>44325</v>
      </c>
      <c r="L2268" s="1473"/>
      <c r="M2268" s="1474">
        <v>0</v>
      </c>
      <c r="N2268" s="1475">
        <v>1.6289568048425915</v>
      </c>
      <c r="O2268" s="1475"/>
    </row>
    <row r="2269" spans="11:15">
      <c r="K2269" s="1472">
        <v>44326</v>
      </c>
      <c r="L2269" s="1473" t="s">
        <v>2127</v>
      </c>
      <c r="M2269" s="1474">
        <v>1.3269E-2</v>
      </c>
      <c r="N2269" s="1475">
        <v>1.6291729511210262</v>
      </c>
      <c r="O2269" s="1475"/>
    </row>
    <row r="2270" spans="11:15">
      <c r="K2270" s="1472">
        <v>44327</v>
      </c>
      <c r="L2270" s="1473" t="s">
        <v>2127</v>
      </c>
      <c r="M2270" s="1474">
        <v>1.3269E-2</v>
      </c>
      <c r="N2270" s="1475">
        <v>1.6293891260799105</v>
      </c>
      <c r="O2270" s="1475"/>
    </row>
    <row r="2271" spans="11:15">
      <c r="K2271" s="1472">
        <v>44328</v>
      </c>
      <c r="L2271" s="1473" t="s">
        <v>2127</v>
      </c>
      <c r="M2271" s="1474">
        <v>1.3269E-2</v>
      </c>
      <c r="N2271" s="1475">
        <v>1.6296053297230502</v>
      </c>
      <c r="O2271" s="1475"/>
    </row>
    <row r="2272" spans="11:15">
      <c r="K2272" s="1472">
        <v>44329</v>
      </c>
      <c r="L2272" s="1473" t="s">
        <v>2127</v>
      </c>
      <c r="M2272" s="1474">
        <v>1.3269E-2</v>
      </c>
      <c r="N2272" s="1475">
        <v>1.6298215620542511</v>
      </c>
      <c r="O2272" s="1475"/>
    </row>
    <row r="2273" spans="11:15">
      <c r="K2273" s="1472">
        <v>44330</v>
      </c>
      <c r="L2273" s="1473" t="s">
        <v>2127</v>
      </c>
      <c r="M2273" s="1474">
        <v>1.3269E-2</v>
      </c>
      <c r="N2273" s="1475">
        <v>1.6300378230773203</v>
      </c>
      <c r="O2273" s="1475"/>
    </row>
    <row r="2274" spans="11:15">
      <c r="K2274" s="1472">
        <v>44331</v>
      </c>
      <c r="L2274" s="1473"/>
      <c r="M2274" s="1474">
        <v>0</v>
      </c>
      <c r="N2274" s="1475">
        <v>1.6300378230773203</v>
      </c>
      <c r="O2274" s="1475"/>
    </row>
    <row r="2275" spans="11:15">
      <c r="K2275" s="1472">
        <v>44332</v>
      </c>
      <c r="L2275" s="1473"/>
      <c r="M2275" s="1474">
        <v>0</v>
      </c>
      <c r="N2275" s="1475">
        <v>1.6300378230773203</v>
      </c>
      <c r="O2275" s="1475"/>
    </row>
    <row r="2276" spans="11:15">
      <c r="K2276" s="1472">
        <v>44333</v>
      </c>
      <c r="L2276" s="1473" t="s">
        <v>2127</v>
      </c>
      <c r="M2276" s="1474">
        <v>1.3269E-2</v>
      </c>
      <c r="N2276" s="1475">
        <v>1.6302541127960644</v>
      </c>
      <c r="O2276" s="1475"/>
    </row>
    <row r="2277" spans="11:15">
      <c r="K2277" s="1472">
        <v>44334</v>
      </c>
      <c r="L2277" s="1473" t="s">
        <v>2127</v>
      </c>
      <c r="M2277" s="1474">
        <v>1.3269E-2</v>
      </c>
      <c r="N2277" s="1475">
        <v>1.6304704312142912</v>
      </c>
      <c r="O2277" s="1475"/>
    </row>
    <row r="2278" spans="11:15">
      <c r="K2278" s="1472">
        <v>44335</v>
      </c>
      <c r="L2278" s="1473" t="s">
        <v>2127</v>
      </c>
      <c r="M2278" s="1474">
        <v>1.3269E-2</v>
      </c>
      <c r="N2278" s="1475">
        <v>1.6306867783358092</v>
      </c>
      <c r="O2278" s="1475"/>
    </row>
    <row r="2279" spans="11:15">
      <c r="K2279" s="1472">
        <v>44336</v>
      </c>
      <c r="L2279" s="1473" t="s">
        <v>2127</v>
      </c>
      <c r="M2279" s="1474">
        <v>1.3269E-2</v>
      </c>
      <c r="N2279" s="1475">
        <v>1.6309031541644268</v>
      </c>
      <c r="O2279" s="1475"/>
    </row>
    <row r="2280" spans="11:15">
      <c r="K2280" s="1472">
        <v>44337</v>
      </c>
      <c r="L2280" s="1473" t="s">
        <v>2127</v>
      </c>
      <c r="M2280" s="1474">
        <v>1.3269E-2</v>
      </c>
      <c r="N2280" s="1475">
        <v>1.6311195587039529</v>
      </c>
      <c r="O2280" s="1475"/>
    </row>
    <row r="2281" spans="11:15">
      <c r="K2281" s="1472">
        <v>44338</v>
      </c>
      <c r="L2281" s="1473"/>
      <c r="M2281" s="1474">
        <v>0</v>
      </c>
      <c r="N2281" s="1475">
        <v>1.6311195587039529</v>
      </c>
      <c r="O2281" s="1475"/>
    </row>
    <row r="2282" spans="11:15">
      <c r="K2282" s="1472">
        <v>44339</v>
      </c>
      <c r="L2282" s="1473"/>
      <c r="M2282" s="1474">
        <v>0</v>
      </c>
      <c r="N2282" s="1475">
        <v>1.6311195587039529</v>
      </c>
      <c r="O2282" s="1475"/>
    </row>
    <row r="2283" spans="11:15">
      <c r="K2283" s="1472">
        <v>44340</v>
      </c>
      <c r="L2283" s="1473" t="s">
        <v>2127</v>
      </c>
      <c r="M2283" s="1474">
        <v>1.3269E-2</v>
      </c>
      <c r="N2283" s="1475">
        <v>1.6313359919581973</v>
      </c>
      <c r="O2283" s="1475"/>
    </row>
    <row r="2284" spans="11:15">
      <c r="K2284" s="1472">
        <v>44341</v>
      </c>
      <c r="L2284" s="1473" t="s">
        <v>2127</v>
      </c>
      <c r="M2284" s="1474">
        <v>1.3269E-2</v>
      </c>
      <c r="N2284" s="1475">
        <v>1.6315524539309703</v>
      </c>
      <c r="O2284" s="1475"/>
    </row>
    <row r="2285" spans="11:15">
      <c r="K2285" s="1472">
        <v>44342</v>
      </c>
      <c r="L2285" s="1473" t="s">
        <v>2127</v>
      </c>
      <c r="M2285" s="1474">
        <v>1.3269E-2</v>
      </c>
      <c r="N2285" s="1475">
        <v>1.6317689446260824</v>
      </c>
      <c r="O2285" s="1475"/>
    </row>
    <row r="2286" spans="11:15">
      <c r="K2286" s="1472">
        <v>44343</v>
      </c>
      <c r="L2286" s="1473" t="s">
        <v>2127</v>
      </c>
      <c r="M2286" s="1474">
        <v>1.3269E-2</v>
      </c>
      <c r="N2286" s="1475">
        <v>1.6319854640473448</v>
      </c>
      <c r="O2286" s="1475"/>
    </row>
    <row r="2287" spans="11:15">
      <c r="K2287" s="1472">
        <v>44344</v>
      </c>
      <c r="L2287" s="1473" t="s">
        <v>2127</v>
      </c>
      <c r="M2287" s="1474">
        <v>1.3269E-2</v>
      </c>
      <c r="N2287" s="1475">
        <v>1.6322020121985694</v>
      </c>
      <c r="O2287" s="1475"/>
    </row>
    <row r="2288" spans="11:15">
      <c r="K2288" s="1472">
        <v>44345</v>
      </c>
      <c r="L2288" s="1473"/>
      <c r="M2288" s="1474">
        <v>0</v>
      </c>
      <c r="N2288" s="1475">
        <v>1.6322020121985694</v>
      </c>
      <c r="O2288" s="1475"/>
    </row>
    <row r="2289" spans="11:15">
      <c r="K2289" s="1472">
        <v>44346</v>
      </c>
      <c r="L2289" s="1473"/>
      <c r="M2289" s="1474">
        <v>0</v>
      </c>
      <c r="N2289" s="1475">
        <v>1.6322020121985694</v>
      </c>
      <c r="O2289" s="1475"/>
    </row>
    <row r="2290" spans="11:15">
      <c r="K2290" s="1472">
        <v>44347</v>
      </c>
      <c r="L2290" s="1473" t="s">
        <v>2127</v>
      </c>
      <c r="M2290" s="1474">
        <v>1.3269E-2</v>
      </c>
      <c r="N2290" s="1475">
        <v>1.6324185890835681</v>
      </c>
      <c r="O2290" s="1475"/>
    </row>
    <row r="2291" spans="11:15">
      <c r="K2291" s="1472">
        <v>44348</v>
      </c>
      <c r="L2291" s="1473" t="s">
        <v>2127</v>
      </c>
      <c r="M2291" s="1474">
        <v>1.3269E-2</v>
      </c>
      <c r="N2291" s="1475">
        <v>1.6326351947061537</v>
      </c>
      <c r="O2291" s="1475"/>
    </row>
    <row r="2292" spans="11:15">
      <c r="K2292" s="1472">
        <v>44349</v>
      </c>
      <c r="L2292" s="1473" t="s">
        <v>2127</v>
      </c>
      <c r="M2292" s="1474">
        <v>1.3269E-2</v>
      </c>
      <c r="N2292" s="1475">
        <v>1.6328518290701393</v>
      </c>
      <c r="O2292" s="1475"/>
    </row>
    <row r="2293" spans="11:15">
      <c r="K2293" s="1472">
        <v>44350</v>
      </c>
      <c r="L2293" s="1473"/>
      <c r="M2293" s="1474">
        <v>0</v>
      </c>
      <c r="N2293" s="1475">
        <v>1.6328518290701393</v>
      </c>
      <c r="O2293" s="1475"/>
    </row>
    <row r="2294" spans="11:15">
      <c r="K2294" s="1472">
        <v>44351</v>
      </c>
      <c r="L2294" s="1473" t="s">
        <v>2127</v>
      </c>
      <c r="M2294" s="1474">
        <v>1.3269E-2</v>
      </c>
      <c r="N2294" s="1475">
        <v>1.6330684921793386</v>
      </c>
      <c r="O2294" s="1475"/>
    </row>
    <row r="2295" spans="11:15">
      <c r="K2295" s="1472">
        <v>44352</v>
      </c>
      <c r="L2295" s="1473"/>
      <c r="M2295" s="1474">
        <v>0</v>
      </c>
      <c r="N2295" s="1475">
        <v>1.6330684921793386</v>
      </c>
      <c r="O2295" s="1475"/>
    </row>
    <row r="2296" spans="11:15">
      <c r="K2296" s="1472">
        <v>44353</v>
      </c>
      <c r="L2296" s="1473"/>
      <c r="M2296" s="1474">
        <v>0</v>
      </c>
      <c r="N2296" s="1475">
        <v>1.6330684921793386</v>
      </c>
      <c r="O2296" s="1475"/>
    </row>
    <row r="2297" spans="11:15">
      <c r="K2297" s="1472">
        <v>44354</v>
      </c>
      <c r="L2297" s="1473" t="s">
        <v>2127</v>
      </c>
      <c r="M2297" s="1474">
        <v>1.3269E-2</v>
      </c>
      <c r="N2297" s="1475">
        <v>1.633285184037566</v>
      </c>
      <c r="O2297" s="1475"/>
    </row>
    <row r="2298" spans="11:15">
      <c r="K2298" s="1472">
        <v>44355</v>
      </c>
      <c r="L2298" s="1473" t="s">
        <v>2127</v>
      </c>
      <c r="M2298" s="1474">
        <v>1.3269E-2</v>
      </c>
      <c r="N2298" s="1475">
        <v>1.6335019046486359</v>
      </c>
      <c r="O2298" s="1475"/>
    </row>
    <row r="2299" spans="11:15">
      <c r="K2299" s="1472">
        <v>44356</v>
      </c>
      <c r="L2299" s="1473" t="s">
        <v>2127</v>
      </c>
      <c r="M2299" s="1474">
        <v>1.3269E-2</v>
      </c>
      <c r="N2299" s="1475">
        <v>1.6337186540163637</v>
      </c>
      <c r="O2299" s="1475"/>
    </row>
    <row r="2300" spans="11:15">
      <c r="K2300" s="1472">
        <v>44357</v>
      </c>
      <c r="L2300" s="1473" t="s">
        <v>2127</v>
      </c>
      <c r="M2300" s="1474">
        <v>1.3269E-2</v>
      </c>
      <c r="N2300" s="1475">
        <v>1.6339354321445652</v>
      </c>
      <c r="O2300" s="1475"/>
    </row>
    <row r="2301" spans="11:15">
      <c r="K2301" s="1472">
        <v>44358</v>
      </c>
      <c r="L2301" s="1473" t="s">
        <v>2127</v>
      </c>
      <c r="M2301" s="1474">
        <v>1.3269E-2</v>
      </c>
      <c r="N2301" s="1475">
        <v>1.6341522390370564</v>
      </c>
      <c r="O2301" s="1475"/>
    </row>
    <row r="2302" spans="11:15">
      <c r="K2302" s="1472">
        <v>44359</v>
      </c>
      <c r="L2302" s="1473"/>
      <c r="M2302" s="1474">
        <v>0</v>
      </c>
      <c r="N2302" s="1475">
        <v>1.6341522390370564</v>
      </c>
      <c r="O2302" s="1475"/>
    </row>
    <row r="2303" spans="11:15">
      <c r="K2303" s="1472">
        <v>44360</v>
      </c>
      <c r="L2303" s="1473"/>
      <c r="M2303" s="1474">
        <v>0</v>
      </c>
      <c r="N2303" s="1475">
        <v>1.6341522390370564</v>
      </c>
      <c r="O2303" s="1475"/>
    </row>
    <row r="2304" spans="11:15">
      <c r="K2304" s="1472">
        <v>44361</v>
      </c>
      <c r="L2304" s="1473" t="s">
        <v>2127</v>
      </c>
      <c r="M2304" s="1474">
        <v>1.3269E-2</v>
      </c>
      <c r="N2304" s="1475">
        <v>1.6343690746976542</v>
      </c>
      <c r="O2304" s="1475"/>
    </row>
    <row r="2305" spans="11:15">
      <c r="K2305" s="1472">
        <v>44362</v>
      </c>
      <c r="L2305" s="1473" t="s">
        <v>2127</v>
      </c>
      <c r="M2305" s="1474">
        <v>1.3269E-2</v>
      </c>
      <c r="N2305" s="1475">
        <v>1.634585939130176</v>
      </c>
      <c r="O2305" s="1475"/>
    </row>
    <row r="2306" spans="11:15">
      <c r="K2306" s="1472">
        <v>44363</v>
      </c>
      <c r="L2306" s="1473" t="s">
        <v>2127</v>
      </c>
      <c r="M2306" s="1474">
        <v>1.3269E-2</v>
      </c>
      <c r="N2306" s="1475">
        <v>1.6348028323384394</v>
      </c>
      <c r="O2306" s="1475"/>
    </row>
    <row r="2307" spans="11:15">
      <c r="K2307" s="1472">
        <v>44364</v>
      </c>
      <c r="L2307" s="1473" t="s">
        <v>2127</v>
      </c>
      <c r="M2307" s="1474">
        <v>1.6136999999999999E-2</v>
      </c>
      <c r="N2307" s="1475">
        <v>1.635066640471494</v>
      </c>
      <c r="O2307" s="1475"/>
    </row>
    <row r="2308" spans="11:15">
      <c r="K2308" s="1472">
        <v>44365</v>
      </c>
      <c r="L2308" s="1473" t="s">
        <v>2127</v>
      </c>
      <c r="M2308" s="1474">
        <v>1.6136999999999999E-2</v>
      </c>
      <c r="N2308" s="1475">
        <v>1.6353304911752669</v>
      </c>
      <c r="O2308" s="1475"/>
    </row>
    <row r="2309" spans="11:15">
      <c r="K2309" s="1472">
        <v>44366</v>
      </c>
      <c r="L2309" s="1473"/>
      <c r="M2309" s="1474">
        <v>0</v>
      </c>
      <c r="N2309" s="1475">
        <v>1.6353304911752669</v>
      </c>
      <c r="O2309" s="1475"/>
    </row>
    <row r="2310" spans="11:15">
      <c r="K2310" s="1472">
        <v>44367</v>
      </c>
      <c r="L2310" s="1473"/>
      <c r="M2310" s="1474">
        <v>0</v>
      </c>
      <c r="N2310" s="1475">
        <v>1.6353304911752669</v>
      </c>
      <c r="O2310" s="1475"/>
    </row>
    <row r="2311" spans="11:15">
      <c r="K2311" s="1472">
        <v>44368</v>
      </c>
      <c r="L2311" s="1473" t="s">
        <v>2127</v>
      </c>
      <c r="M2311" s="1474">
        <v>1.6136999999999999E-2</v>
      </c>
      <c r="N2311" s="1475">
        <v>1.6355943844566279</v>
      </c>
      <c r="O2311" s="1475"/>
    </row>
    <row r="2312" spans="11:15">
      <c r="K2312" s="1472">
        <v>44369</v>
      </c>
      <c r="L2312" s="1473" t="s">
        <v>2127</v>
      </c>
      <c r="M2312" s="1474">
        <v>1.6136999999999999E-2</v>
      </c>
      <c r="N2312" s="1475">
        <v>1.6358583203224477</v>
      </c>
      <c r="O2312" s="1475"/>
    </row>
    <row r="2313" spans="11:15">
      <c r="K2313" s="1472">
        <v>44370</v>
      </c>
      <c r="L2313" s="1473" t="s">
        <v>2127</v>
      </c>
      <c r="M2313" s="1474">
        <v>1.6136999999999999E-2</v>
      </c>
      <c r="N2313" s="1475">
        <v>1.6361222987795982</v>
      </c>
      <c r="O2313" s="1475"/>
    </row>
    <row r="2314" spans="11:15">
      <c r="K2314" s="1472">
        <v>44371</v>
      </c>
      <c r="L2314" s="1473" t="s">
        <v>2127</v>
      </c>
      <c r="M2314" s="1474">
        <v>1.6136999999999999E-2</v>
      </c>
      <c r="N2314" s="1475">
        <v>1.6363863198349524</v>
      </c>
      <c r="O2314" s="1475"/>
    </row>
    <row r="2315" spans="11:15">
      <c r="K2315" s="1472">
        <v>44372</v>
      </c>
      <c r="L2315" s="1473" t="s">
        <v>2127</v>
      </c>
      <c r="M2315" s="1474">
        <v>1.6136999999999999E-2</v>
      </c>
      <c r="N2315" s="1475">
        <v>1.6366503834953843</v>
      </c>
      <c r="O2315" s="1475"/>
    </row>
    <row r="2316" spans="11:15">
      <c r="K2316" s="1472">
        <v>44373</v>
      </c>
      <c r="L2316" s="1473"/>
      <c r="M2316" s="1474">
        <v>0</v>
      </c>
      <c r="N2316" s="1475">
        <v>1.6366503834953843</v>
      </c>
      <c r="O2316" s="1475"/>
    </row>
    <row r="2317" spans="11:15">
      <c r="K2317" s="1472">
        <v>44374</v>
      </c>
      <c r="L2317" s="1473"/>
      <c r="M2317" s="1474">
        <v>0</v>
      </c>
      <c r="N2317" s="1475">
        <v>1.6366503834953843</v>
      </c>
      <c r="O2317" s="1475"/>
    </row>
    <row r="2318" spans="11:15">
      <c r="K2318" s="1472">
        <v>44375</v>
      </c>
      <c r="L2318" s="1473" t="s">
        <v>2127</v>
      </c>
      <c r="M2318" s="1474">
        <v>1.6136999999999999E-2</v>
      </c>
      <c r="N2318" s="1475">
        <v>1.636914489767769</v>
      </c>
      <c r="O2318" s="1475"/>
    </row>
    <row r="2319" spans="11:15">
      <c r="K2319" s="1472">
        <v>44376</v>
      </c>
      <c r="L2319" s="1473" t="s">
        <v>2127</v>
      </c>
      <c r="M2319" s="1474">
        <v>1.6136999999999999E-2</v>
      </c>
      <c r="N2319" s="1475">
        <v>1.6371786386589828</v>
      </c>
      <c r="O2319" s="1475"/>
    </row>
    <row r="2320" spans="11:15">
      <c r="K2320" s="1472">
        <v>44377</v>
      </c>
      <c r="L2320" s="1473" t="s">
        <v>2127</v>
      </c>
      <c r="M2320" s="1474">
        <v>1.6136999999999999E-2</v>
      </c>
      <c r="N2320" s="1475">
        <v>1.6374428301759034</v>
      </c>
      <c r="O2320" s="1475"/>
    </row>
    <row r="2321" spans="11:15">
      <c r="K2321" s="1472">
        <v>44378</v>
      </c>
      <c r="L2321" s="1473" t="s">
        <v>2127</v>
      </c>
      <c r="M2321" s="1474">
        <v>1.6136999999999999E-2</v>
      </c>
      <c r="N2321" s="1475">
        <v>1.637707064325409</v>
      </c>
      <c r="O2321" s="1475"/>
    </row>
    <row r="2322" spans="11:15">
      <c r="K2322" s="1472">
        <v>44379</v>
      </c>
      <c r="L2322" s="1473" t="s">
        <v>2127</v>
      </c>
      <c r="M2322" s="1474">
        <v>1.6136999999999999E-2</v>
      </c>
      <c r="N2322" s="1475">
        <v>1.6379713411143793</v>
      </c>
      <c r="O2322" s="1475"/>
    </row>
    <row r="2323" spans="11:15">
      <c r="K2323" s="1472">
        <v>44380</v>
      </c>
      <c r="L2323" s="1473"/>
      <c r="M2323" s="1474">
        <v>0</v>
      </c>
      <c r="N2323" s="1475">
        <v>1.6379713411143793</v>
      </c>
      <c r="O2323" s="1475"/>
    </row>
    <row r="2324" spans="11:15">
      <c r="K2324" s="1472">
        <v>44381</v>
      </c>
      <c r="L2324" s="1473"/>
      <c r="M2324" s="1474">
        <v>0</v>
      </c>
      <c r="N2324" s="1475">
        <v>1.6379713411143793</v>
      </c>
      <c r="O2324" s="1475"/>
    </row>
    <row r="2325" spans="11:15">
      <c r="K2325" s="1472">
        <v>44382</v>
      </c>
      <c r="L2325" s="1473" t="s">
        <v>2127</v>
      </c>
      <c r="M2325" s="1474">
        <v>1.6136999999999999E-2</v>
      </c>
      <c r="N2325" s="1475">
        <v>1.638235660549695</v>
      </c>
      <c r="O2325" s="1475"/>
    </row>
    <row r="2326" spans="11:15">
      <c r="K2326" s="1472">
        <v>44383</v>
      </c>
      <c r="L2326" s="1473" t="s">
        <v>2127</v>
      </c>
      <c r="M2326" s="1474">
        <v>1.6136999999999999E-2</v>
      </c>
      <c r="N2326" s="1475">
        <v>1.638500022638238</v>
      </c>
      <c r="O2326" s="1475"/>
    </row>
    <row r="2327" spans="11:15">
      <c r="K2327" s="1472">
        <v>44384</v>
      </c>
      <c r="L2327" s="1473" t="s">
        <v>2127</v>
      </c>
      <c r="M2327" s="1474">
        <v>1.6136999999999999E-2</v>
      </c>
      <c r="N2327" s="1475">
        <v>1.6387644273868913</v>
      </c>
      <c r="O2327" s="1475"/>
    </row>
    <row r="2328" spans="11:15">
      <c r="K2328" s="1472">
        <v>44385</v>
      </c>
      <c r="L2328" s="1473" t="s">
        <v>2127</v>
      </c>
      <c r="M2328" s="1474">
        <v>1.6136999999999999E-2</v>
      </c>
      <c r="N2328" s="1475">
        <v>1.6390288748025388</v>
      </c>
      <c r="O2328" s="1475"/>
    </row>
    <row r="2329" spans="11:15">
      <c r="K2329" s="1472">
        <v>44386</v>
      </c>
      <c r="L2329" s="1473" t="s">
        <v>2127</v>
      </c>
      <c r="M2329" s="1474">
        <v>1.6136999999999999E-2</v>
      </c>
      <c r="N2329" s="1475">
        <v>1.6392933648920658</v>
      </c>
      <c r="O2329" s="1475"/>
    </row>
    <row r="2330" spans="11:15">
      <c r="K2330" s="1472">
        <v>44387</v>
      </c>
      <c r="L2330" s="1473"/>
      <c r="M2330" s="1474">
        <v>0</v>
      </c>
      <c r="N2330" s="1475">
        <v>1.6392933648920658</v>
      </c>
      <c r="O2330" s="1475"/>
    </row>
    <row r="2331" spans="11:15">
      <c r="K2331" s="1472">
        <v>44388</v>
      </c>
      <c r="L2331" s="1473"/>
      <c r="M2331" s="1474">
        <v>0</v>
      </c>
      <c r="N2331" s="1475">
        <v>1.6392933648920658</v>
      </c>
      <c r="O2331" s="1475"/>
    </row>
    <row r="2332" spans="11:15">
      <c r="K2332" s="1472">
        <v>44389</v>
      </c>
      <c r="L2332" s="1473" t="s">
        <v>2127</v>
      </c>
      <c r="M2332" s="1474">
        <v>1.6136999999999999E-2</v>
      </c>
      <c r="N2332" s="1475">
        <v>1.6395578976623586</v>
      </c>
      <c r="O2332" s="1475"/>
    </row>
    <row r="2333" spans="11:15">
      <c r="K2333" s="1472">
        <v>44390</v>
      </c>
      <c r="L2333" s="1473" t="s">
        <v>2127</v>
      </c>
      <c r="M2333" s="1474">
        <v>1.6136999999999999E-2</v>
      </c>
      <c r="N2333" s="1475">
        <v>1.6398224731203044</v>
      </c>
      <c r="O2333" s="1475"/>
    </row>
    <row r="2334" spans="11:15">
      <c r="K2334" s="1472">
        <v>44391</v>
      </c>
      <c r="L2334" s="1473" t="s">
        <v>2127</v>
      </c>
      <c r="M2334" s="1474">
        <v>1.6136999999999999E-2</v>
      </c>
      <c r="N2334" s="1475">
        <v>1.6400870912727918</v>
      </c>
      <c r="O2334" s="1475"/>
    </row>
    <row r="2335" spans="11:15">
      <c r="K2335" s="1472">
        <v>44392</v>
      </c>
      <c r="L2335" s="1473" t="s">
        <v>2127</v>
      </c>
      <c r="M2335" s="1474">
        <v>1.6136999999999999E-2</v>
      </c>
      <c r="N2335" s="1475">
        <v>1.6403517521267106</v>
      </c>
      <c r="O2335" s="1475"/>
    </row>
    <row r="2336" spans="11:15">
      <c r="K2336" s="1472">
        <v>44393</v>
      </c>
      <c r="L2336" s="1473" t="s">
        <v>2127</v>
      </c>
      <c r="M2336" s="1474">
        <v>1.6136999999999999E-2</v>
      </c>
      <c r="N2336" s="1475">
        <v>1.6406164556889513</v>
      </c>
      <c r="O2336" s="1475"/>
    </row>
    <row r="2337" spans="11:15">
      <c r="K2337" s="1472">
        <v>44394</v>
      </c>
      <c r="L2337" s="1473"/>
      <c r="M2337" s="1474">
        <v>0</v>
      </c>
      <c r="N2337" s="1475">
        <v>1.6406164556889513</v>
      </c>
      <c r="O2337" s="1475"/>
    </row>
    <row r="2338" spans="11:15">
      <c r="K2338" s="1472">
        <v>44395</v>
      </c>
      <c r="L2338" s="1473"/>
      <c r="M2338" s="1474">
        <v>0</v>
      </c>
      <c r="N2338" s="1475">
        <v>1.6406164556889513</v>
      </c>
      <c r="O2338" s="1475"/>
    </row>
    <row r="2339" spans="11:15">
      <c r="K2339" s="1472">
        <v>44396</v>
      </c>
      <c r="L2339" s="1473" t="s">
        <v>2127</v>
      </c>
      <c r="M2339" s="1474">
        <v>1.6136999999999999E-2</v>
      </c>
      <c r="N2339" s="1475">
        <v>1.6408812019664059</v>
      </c>
      <c r="O2339" s="1475"/>
    </row>
    <row r="2340" spans="11:15">
      <c r="K2340" s="1472">
        <v>44397</v>
      </c>
      <c r="L2340" s="1473" t="s">
        <v>2127</v>
      </c>
      <c r="M2340" s="1474">
        <v>1.6136999999999999E-2</v>
      </c>
      <c r="N2340" s="1475">
        <v>1.6411459909659674</v>
      </c>
      <c r="O2340" s="1475"/>
    </row>
    <row r="2341" spans="11:15">
      <c r="K2341" s="1472">
        <v>44398</v>
      </c>
      <c r="L2341" s="1473" t="s">
        <v>2127</v>
      </c>
      <c r="M2341" s="1474">
        <v>1.6136999999999999E-2</v>
      </c>
      <c r="N2341" s="1475">
        <v>1.6414108226945296</v>
      </c>
      <c r="O2341" s="1475"/>
    </row>
    <row r="2342" spans="11:15">
      <c r="K2342" s="1472">
        <v>44399</v>
      </c>
      <c r="L2342" s="1473" t="s">
        <v>2127</v>
      </c>
      <c r="M2342" s="1474">
        <v>1.6136999999999999E-2</v>
      </c>
      <c r="N2342" s="1475">
        <v>1.6416756971589879</v>
      </c>
      <c r="O2342" s="1475"/>
    </row>
    <row r="2343" spans="11:15">
      <c r="K2343" s="1472">
        <v>44400</v>
      </c>
      <c r="L2343" s="1473" t="s">
        <v>2127</v>
      </c>
      <c r="M2343" s="1474">
        <v>1.6136999999999999E-2</v>
      </c>
      <c r="N2343" s="1475">
        <v>1.6419406143662385</v>
      </c>
      <c r="O2343" s="1475"/>
    </row>
    <row r="2344" spans="11:15">
      <c r="K2344" s="1472">
        <v>44401</v>
      </c>
      <c r="L2344" s="1473"/>
      <c r="M2344" s="1474">
        <v>0</v>
      </c>
      <c r="N2344" s="1475">
        <v>1.6419406143662385</v>
      </c>
      <c r="O2344" s="1475"/>
    </row>
    <row r="2345" spans="11:15">
      <c r="K2345" s="1472">
        <v>44402</v>
      </c>
      <c r="L2345" s="1473"/>
      <c r="M2345" s="1474">
        <v>0</v>
      </c>
      <c r="N2345" s="1475">
        <v>1.6419406143662385</v>
      </c>
      <c r="O2345" s="1475"/>
    </row>
    <row r="2346" spans="11:15">
      <c r="K2346" s="1472">
        <v>44403</v>
      </c>
      <c r="L2346" s="1473" t="s">
        <v>2127</v>
      </c>
      <c r="M2346" s="1474">
        <v>1.6136999999999999E-2</v>
      </c>
      <c r="N2346" s="1475">
        <v>1.6422055743231789</v>
      </c>
      <c r="O2346" s="1475"/>
    </row>
    <row r="2347" spans="11:15">
      <c r="K2347" s="1472">
        <v>44404</v>
      </c>
      <c r="L2347" s="1473" t="s">
        <v>2127</v>
      </c>
      <c r="M2347" s="1474">
        <v>1.6136999999999999E-2</v>
      </c>
      <c r="N2347" s="1475">
        <v>1.6424705770367076</v>
      </c>
      <c r="O2347" s="1475"/>
    </row>
    <row r="2348" spans="11:15">
      <c r="K2348" s="1472">
        <v>44405</v>
      </c>
      <c r="L2348" s="1473" t="s">
        <v>2127</v>
      </c>
      <c r="M2348" s="1474">
        <v>1.6136999999999999E-2</v>
      </c>
      <c r="N2348" s="1475">
        <v>1.6427356225137242</v>
      </c>
      <c r="O2348" s="1475"/>
    </row>
    <row r="2349" spans="11:15">
      <c r="K2349" s="1472">
        <v>44406</v>
      </c>
      <c r="L2349" s="1473" t="s">
        <v>2127</v>
      </c>
      <c r="M2349" s="1474">
        <v>1.6136999999999999E-2</v>
      </c>
      <c r="N2349" s="1475">
        <v>1.6430007107611293</v>
      </c>
      <c r="O2349" s="1475"/>
    </row>
    <row r="2350" spans="11:15">
      <c r="K2350" s="1472">
        <v>44407</v>
      </c>
      <c r="L2350" s="1473" t="s">
        <v>2127</v>
      </c>
      <c r="M2350" s="1474">
        <v>1.6136999999999999E-2</v>
      </c>
      <c r="N2350" s="1475">
        <v>1.6432658417858248</v>
      </c>
      <c r="O2350" s="1475"/>
    </row>
    <row r="2351" spans="11:15">
      <c r="K2351" s="1472">
        <v>44408</v>
      </c>
      <c r="L2351" s="1473"/>
      <c r="M2351" s="1474">
        <v>0</v>
      </c>
      <c r="N2351" s="1475">
        <v>1.6432658417858248</v>
      </c>
      <c r="O2351" s="1475"/>
    </row>
    <row r="2352" spans="11:15">
      <c r="K2352" s="1472">
        <v>44409</v>
      </c>
      <c r="L2352" s="1473"/>
      <c r="M2352" s="1474">
        <v>0</v>
      </c>
      <c r="N2352" s="1475">
        <v>1.6432658417858248</v>
      </c>
      <c r="O2352" s="1475"/>
    </row>
    <row r="2353" spans="11:15">
      <c r="K2353" s="1472">
        <v>44410</v>
      </c>
      <c r="L2353" s="1473" t="s">
        <v>2127</v>
      </c>
      <c r="M2353" s="1474">
        <v>1.6136999999999999E-2</v>
      </c>
      <c r="N2353" s="1475">
        <v>1.6435310155947138</v>
      </c>
      <c r="O2353" s="1475"/>
    </row>
    <row r="2354" spans="11:15">
      <c r="K2354" s="1472">
        <v>44411</v>
      </c>
      <c r="L2354" s="1473" t="s">
        <v>2127</v>
      </c>
      <c r="M2354" s="1474">
        <v>1.6136999999999999E-2</v>
      </c>
      <c r="N2354" s="1475">
        <v>1.6437962321947004</v>
      </c>
      <c r="O2354" s="1475"/>
    </row>
    <row r="2355" spans="11:15">
      <c r="K2355" s="1472">
        <v>44412</v>
      </c>
      <c r="L2355" s="1473" t="s">
        <v>2127</v>
      </c>
      <c r="M2355" s="1474">
        <v>1.6136999999999999E-2</v>
      </c>
      <c r="N2355" s="1475">
        <v>1.6440614915926897</v>
      </c>
      <c r="O2355" s="1475"/>
    </row>
    <row r="2356" spans="11:15">
      <c r="K2356" s="1472">
        <v>44413</v>
      </c>
      <c r="L2356" s="1473" t="s">
        <v>2127</v>
      </c>
      <c r="M2356" s="1474">
        <v>1.993E-2</v>
      </c>
      <c r="N2356" s="1475">
        <v>1.6443891530479642</v>
      </c>
      <c r="O2356" s="1475"/>
    </row>
    <row r="2357" spans="11:15">
      <c r="K2357" s="1472">
        <v>44414</v>
      </c>
      <c r="L2357" s="1473" t="s">
        <v>2127</v>
      </c>
      <c r="M2357" s="1474">
        <v>1.993E-2</v>
      </c>
      <c r="N2357" s="1475">
        <v>1.6447168798061667</v>
      </c>
      <c r="O2357" s="1475"/>
    </row>
    <row r="2358" spans="11:15">
      <c r="K2358" s="1472">
        <v>44415</v>
      </c>
      <c r="L2358" s="1473"/>
      <c r="M2358" s="1474">
        <v>0</v>
      </c>
      <c r="N2358" s="1475">
        <v>1.6447168798061667</v>
      </c>
      <c r="O2358" s="1475"/>
    </row>
    <row r="2359" spans="11:15">
      <c r="K2359" s="1472">
        <v>44416</v>
      </c>
      <c r="L2359" s="1473"/>
      <c r="M2359" s="1474">
        <v>0</v>
      </c>
      <c r="N2359" s="1475">
        <v>1.6447168798061667</v>
      </c>
      <c r="O2359" s="1475"/>
    </row>
    <row r="2360" spans="11:15">
      <c r="K2360" s="1472">
        <v>44417</v>
      </c>
      <c r="L2360" s="1473" t="s">
        <v>2127</v>
      </c>
      <c r="M2360" s="1474">
        <v>1.993E-2</v>
      </c>
      <c r="N2360" s="1475">
        <v>1.645044671880312</v>
      </c>
      <c r="O2360" s="1475"/>
    </row>
    <row r="2361" spans="11:15">
      <c r="K2361" s="1472">
        <v>44418</v>
      </c>
      <c r="L2361" s="1473" t="s">
        <v>2127</v>
      </c>
      <c r="M2361" s="1474">
        <v>1.993E-2</v>
      </c>
      <c r="N2361" s="1475">
        <v>1.6453725292834178</v>
      </c>
      <c r="O2361" s="1475"/>
    </row>
    <row r="2362" spans="11:15">
      <c r="K2362" s="1472">
        <v>44419</v>
      </c>
      <c r="L2362" s="1473" t="s">
        <v>2127</v>
      </c>
      <c r="M2362" s="1474">
        <v>1.993E-2</v>
      </c>
      <c r="N2362" s="1475">
        <v>1.6457004520285041</v>
      </c>
      <c r="O2362" s="1475"/>
    </row>
    <row r="2363" spans="11:15">
      <c r="K2363" s="1472">
        <v>44420</v>
      </c>
      <c r="L2363" s="1473" t="s">
        <v>2127</v>
      </c>
      <c r="M2363" s="1474">
        <v>1.993E-2</v>
      </c>
      <c r="N2363" s="1475">
        <v>1.6460284401285934</v>
      </c>
      <c r="O2363" s="1475"/>
    </row>
    <row r="2364" spans="11:15">
      <c r="K2364" s="1472">
        <v>44421</v>
      </c>
      <c r="L2364" s="1473" t="s">
        <v>2127</v>
      </c>
      <c r="M2364" s="1474">
        <v>1.993E-2</v>
      </c>
      <c r="N2364" s="1475">
        <v>1.646356493596711</v>
      </c>
      <c r="O2364" s="1475"/>
    </row>
    <row r="2365" spans="11:15">
      <c r="K2365" s="1472">
        <v>44422</v>
      </c>
      <c r="L2365" s="1473"/>
      <c r="M2365" s="1474">
        <v>0</v>
      </c>
      <c r="N2365" s="1475">
        <v>1.646356493596711</v>
      </c>
      <c r="O2365" s="1475"/>
    </row>
    <row r="2366" spans="11:15">
      <c r="K2366" s="1472">
        <v>44423</v>
      </c>
      <c r="L2366" s="1473"/>
      <c r="M2366" s="1474">
        <v>0</v>
      </c>
      <c r="N2366" s="1475">
        <v>1.646356493596711</v>
      </c>
      <c r="O2366" s="1475"/>
    </row>
    <row r="2367" spans="11:15">
      <c r="K2367" s="1472">
        <v>44424</v>
      </c>
      <c r="L2367" s="1473" t="s">
        <v>2127</v>
      </c>
      <c r="M2367" s="1474">
        <v>1.993E-2</v>
      </c>
      <c r="N2367" s="1475">
        <v>1.6466846124458849</v>
      </c>
      <c r="O2367" s="1475"/>
    </row>
    <row r="2368" spans="11:15">
      <c r="K2368" s="1472">
        <v>44425</v>
      </c>
      <c r="L2368" s="1473" t="s">
        <v>2127</v>
      </c>
      <c r="M2368" s="1474">
        <v>1.993E-2</v>
      </c>
      <c r="N2368" s="1475">
        <v>1.6470127966891455</v>
      </c>
      <c r="O2368" s="1475"/>
    </row>
    <row r="2369" spans="11:15">
      <c r="K2369" s="1472">
        <v>44426</v>
      </c>
      <c r="L2369" s="1473" t="s">
        <v>2127</v>
      </c>
      <c r="M2369" s="1474">
        <v>1.993E-2</v>
      </c>
      <c r="N2369" s="1475">
        <v>1.6473410463395257</v>
      </c>
      <c r="O2369" s="1475"/>
    </row>
    <row r="2370" spans="11:15">
      <c r="K2370" s="1472">
        <v>44427</v>
      </c>
      <c r="L2370" s="1473" t="s">
        <v>2127</v>
      </c>
      <c r="M2370" s="1474">
        <v>1.993E-2</v>
      </c>
      <c r="N2370" s="1475">
        <v>1.6476693614100613</v>
      </c>
      <c r="O2370" s="1475"/>
    </row>
    <row r="2371" spans="11:15">
      <c r="K2371" s="1472">
        <v>44428</v>
      </c>
      <c r="L2371" s="1473" t="s">
        <v>2127</v>
      </c>
      <c r="M2371" s="1474">
        <v>1.993E-2</v>
      </c>
      <c r="N2371" s="1475">
        <v>1.6479977419137903</v>
      </c>
      <c r="O2371" s="1475"/>
    </row>
    <row r="2372" spans="11:15">
      <c r="K2372" s="1472">
        <v>44429</v>
      </c>
      <c r="L2372" s="1473"/>
      <c r="M2372" s="1474">
        <v>0</v>
      </c>
      <c r="N2372" s="1475">
        <v>1.6479977419137903</v>
      </c>
      <c r="O2372" s="1475"/>
    </row>
    <row r="2373" spans="11:15">
      <c r="K2373" s="1472">
        <v>44430</v>
      </c>
      <c r="L2373" s="1473"/>
      <c r="M2373" s="1474">
        <v>0</v>
      </c>
      <c r="N2373" s="1475">
        <v>1.6479977419137903</v>
      </c>
      <c r="O2373" s="1475"/>
    </row>
    <row r="2374" spans="11:15">
      <c r="K2374" s="1472">
        <v>44431</v>
      </c>
      <c r="L2374" s="1473" t="s">
        <v>2127</v>
      </c>
      <c r="M2374" s="1474">
        <v>1.993E-2</v>
      </c>
      <c r="N2374" s="1475">
        <v>1.6483261878637538</v>
      </c>
      <c r="O2374" s="1475"/>
    </row>
    <row r="2375" spans="11:15">
      <c r="K2375" s="1472">
        <v>44432</v>
      </c>
      <c r="L2375" s="1473" t="s">
        <v>2127</v>
      </c>
      <c r="M2375" s="1474">
        <v>1.993E-2</v>
      </c>
      <c r="N2375" s="1475">
        <v>1.6486546992729951</v>
      </c>
      <c r="O2375" s="1475"/>
    </row>
    <row r="2376" spans="11:15">
      <c r="K2376" s="1472">
        <v>44433</v>
      </c>
      <c r="L2376" s="1473" t="s">
        <v>2127</v>
      </c>
      <c r="M2376" s="1474">
        <v>1.993E-2</v>
      </c>
      <c r="N2376" s="1475">
        <v>1.6489832761545602</v>
      </c>
      <c r="O2376" s="1475"/>
    </row>
    <row r="2377" spans="11:15">
      <c r="K2377" s="1472">
        <v>44434</v>
      </c>
      <c r="L2377" s="1473" t="s">
        <v>2127</v>
      </c>
      <c r="M2377" s="1474">
        <v>1.993E-2</v>
      </c>
      <c r="N2377" s="1475">
        <v>1.6493119185214977</v>
      </c>
      <c r="O2377" s="1475"/>
    </row>
    <row r="2378" spans="11:15">
      <c r="K2378" s="1472">
        <v>44435</v>
      </c>
      <c r="L2378" s="1473" t="s">
        <v>2127</v>
      </c>
      <c r="M2378" s="1474">
        <v>1.993E-2</v>
      </c>
      <c r="N2378" s="1475">
        <v>1.649640626386859</v>
      </c>
      <c r="O2378" s="1475"/>
    </row>
    <row r="2379" spans="11:15">
      <c r="K2379" s="1472">
        <v>44436</v>
      </c>
      <c r="L2379" s="1473"/>
      <c r="M2379" s="1474">
        <v>0</v>
      </c>
      <c r="N2379" s="1475">
        <v>1.649640626386859</v>
      </c>
      <c r="O2379" s="1475"/>
    </row>
    <row r="2380" spans="11:15">
      <c r="K2380" s="1472">
        <v>44437</v>
      </c>
      <c r="L2380" s="1473"/>
      <c r="M2380" s="1474">
        <v>0</v>
      </c>
      <c r="N2380" s="1475">
        <v>1.649640626386859</v>
      </c>
      <c r="O2380" s="1475"/>
    </row>
    <row r="2381" spans="11:15">
      <c r="K2381" s="1472">
        <v>44438</v>
      </c>
      <c r="L2381" s="1473" t="s">
        <v>2127</v>
      </c>
      <c r="M2381" s="1474">
        <v>1.993E-2</v>
      </c>
      <c r="N2381" s="1475">
        <v>1.6499693997636979</v>
      </c>
      <c r="O2381" s="1475"/>
    </row>
    <row r="2382" spans="11:15">
      <c r="K2382" s="1472">
        <v>44439</v>
      </c>
      <c r="L2382" s="1473" t="s">
        <v>2127</v>
      </c>
      <c r="M2382" s="1474">
        <v>1.993E-2</v>
      </c>
      <c r="N2382" s="1475">
        <v>1.6502982386650709</v>
      </c>
      <c r="O2382" s="1475"/>
    </row>
    <row r="2383" spans="11:15">
      <c r="K2383" s="1472">
        <v>44440</v>
      </c>
      <c r="L2383" s="1473" t="s">
        <v>2127</v>
      </c>
      <c r="M2383" s="1474">
        <v>1.993E-2</v>
      </c>
      <c r="N2383" s="1475">
        <v>1.6506271431040369</v>
      </c>
      <c r="O2383" s="1475"/>
    </row>
    <row r="2384" spans="11:15">
      <c r="K2384" s="1472">
        <v>44441</v>
      </c>
      <c r="L2384" s="1473" t="s">
        <v>2127</v>
      </c>
      <c r="M2384" s="1474">
        <v>1.993E-2</v>
      </c>
      <c r="N2384" s="1475">
        <v>1.6509561130936576</v>
      </c>
      <c r="O2384" s="1475"/>
    </row>
    <row r="2385" spans="11:15">
      <c r="K2385" s="1472">
        <v>44442</v>
      </c>
      <c r="L2385" s="1473" t="s">
        <v>2127</v>
      </c>
      <c r="M2385" s="1474">
        <v>1.993E-2</v>
      </c>
      <c r="N2385" s="1475">
        <v>1.6512851486469973</v>
      </c>
      <c r="O2385" s="1475"/>
    </row>
    <row r="2386" spans="11:15">
      <c r="K2386" s="1472">
        <v>44443</v>
      </c>
      <c r="L2386" s="1473"/>
      <c r="M2386" s="1474">
        <v>0</v>
      </c>
      <c r="N2386" s="1475">
        <v>1.6512851486469973</v>
      </c>
      <c r="O2386" s="1475"/>
    </row>
    <row r="2387" spans="11:15">
      <c r="K2387" s="1472">
        <v>44444</v>
      </c>
      <c r="L2387" s="1473"/>
      <c r="M2387" s="1474">
        <v>0</v>
      </c>
      <c r="N2387" s="1475">
        <v>1.6512851486469973</v>
      </c>
      <c r="O2387" s="1475"/>
    </row>
    <row r="2388" spans="11:15">
      <c r="K2388" s="1472">
        <v>44445</v>
      </c>
      <c r="L2388" s="1473" t="s">
        <v>2127</v>
      </c>
      <c r="M2388" s="1474">
        <v>1.993E-2</v>
      </c>
      <c r="N2388" s="1475">
        <v>1.6516142497771227</v>
      </c>
      <c r="O2388" s="1475"/>
    </row>
    <row r="2389" spans="11:15">
      <c r="K2389" s="1472">
        <v>44446</v>
      </c>
      <c r="L2389" s="1473"/>
      <c r="M2389" s="1474">
        <v>0</v>
      </c>
      <c r="N2389" s="1475">
        <v>1.6516142497771227</v>
      </c>
      <c r="O2389" s="1475"/>
    </row>
    <row r="2390" spans="11:15">
      <c r="K2390" s="1472">
        <v>44447</v>
      </c>
      <c r="L2390" s="1473" t="s">
        <v>2127</v>
      </c>
      <c r="M2390" s="1474">
        <v>1.993E-2</v>
      </c>
      <c r="N2390" s="1475">
        <v>1.6519434164971032</v>
      </c>
      <c r="O2390" s="1475"/>
    </row>
    <row r="2391" spans="11:15">
      <c r="K2391" s="1472">
        <v>44448</v>
      </c>
      <c r="L2391" s="1473" t="s">
        <v>2127</v>
      </c>
      <c r="M2391" s="1474">
        <v>1.993E-2</v>
      </c>
      <c r="N2391" s="1475">
        <v>1.652272648820011</v>
      </c>
      <c r="O2391" s="1475"/>
    </row>
    <row r="2392" spans="11:15">
      <c r="K2392" s="1472">
        <v>44449</v>
      </c>
      <c r="L2392" s="1473" t="s">
        <v>2127</v>
      </c>
      <c r="M2392" s="1474">
        <v>1.993E-2</v>
      </c>
      <c r="N2392" s="1475">
        <v>1.6526019467589208</v>
      </c>
      <c r="O2392" s="1475"/>
    </row>
    <row r="2393" spans="11:15">
      <c r="K2393" s="1472">
        <v>44450</v>
      </c>
      <c r="L2393" s="1473"/>
      <c r="M2393" s="1474">
        <v>0</v>
      </c>
      <c r="N2393" s="1475">
        <v>1.6526019467589208</v>
      </c>
      <c r="O2393" s="1475"/>
    </row>
    <row r="2394" spans="11:15">
      <c r="K2394" s="1472">
        <v>44451</v>
      </c>
      <c r="L2394" s="1473"/>
      <c r="M2394" s="1474">
        <v>0</v>
      </c>
      <c r="N2394" s="1475">
        <v>1.6526019467589208</v>
      </c>
      <c r="O2394" s="1475"/>
    </row>
    <row r="2395" spans="11:15">
      <c r="K2395" s="1472">
        <v>44452</v>
      </c>
      <c r="L2395" s="1473" t="s">
        <v>2127</v>
      </c>
      <c r="M2395" s="1474">
        <v>1.993E-2</v>
      </c>
      <c r="N2395" s="1475">
        <v>1.6529313103269099</v>
      </c>
      <c r="O2395" s="1475"/>
    </row>
    <row r="2396" spans="11:15">
      <c r="K2396" s="1472">
        <v>44453</v>
      </c>
      <c r="L2396" s="1473" t="s">
        <v>2127</v>
      </c>
      <c r="M2396" s="1474">
        <v>1.993E-2</v>
      </c>
      <c r="N2396" s="1475">
        <v>1.653260739537058</v>
      </c>
      <c r="O2396" s="1475"/>
    </row>
    <row r="2397" spans="11:15">
      <c r="K2397" s="1472">
        <v>44454</v>
      </c>
      <c r="L2397" s="1473" t="s">
        <v>2127</v>
      </c>
      <c r="M2397" s="1474">
        <v>1.993E-2</v>
      </c>
      <c r="N2397" s="1475">
        <v>1.6535902344024478</v>
      </c>
      <c r="O2397" s="1475"/>
    </row>
    <row r="2398" spans="11:15">
      <c r="K2398" s="1472">
        <v>44455</v>
      </c>
      <c r="L2398" s="1473" t="s">
        <v>2127</v>
      </c>
      <c r="M2398" s="1474">
        <v>1.993E-2</v>
      </c>
      <c r="N2398" s="1475">
        <v>1.6539197949361641</v>
      </c>
      <c r="O2398" s="1475"/>
    </row>
    <row r="2399" spans="11:15">
      <c r="K2399" s="1472">
        <v>44456</v>
      </c>
      <c r="L2399" s="1473" t="s">
        <v>2127</v>
      </c>
      <c r="M2399" s="1474">
        <v>1.993E-2</v>
      </c>
      <c r="N2399" s="1475">
        <v>1.654249421151295</v>
      </c>
      <c r="O2399" s="1475"/>
    </row>
    <row r="2400" spans="11:15">
      <c r="K2400" s="1472">
        <v>44457</v>
      </c>
      <c r="L2400" s="1473"/>
      <c r="M2400" s="1474">
        <v>0</v>
      </c>
      <c r="N2400" s="1475">
        <v>1.654249421151295</v>
      </c>
      <c r="O2400" s="1475"/>
    </row>
    <row r="2401" spans="11:15">
      <c r="K2401" s="1472">
        <v>44458</v>
      </c>
      <c r="L2401" s="1473"/>
      <c r="M2401" s="1474">
        <v>0</v>
      </c>
      <c r="N2401" s="1475">
        <v>1.654249421151295</v>
      </c>
      <c r="O2401" s="1475"/>
    </row>
    <row r="2402" spans="11:15">
      <c r="K2402" s="1472">
        <v>44459</v>
      </c>
      <c r="L2402" s="1473" t="s">
        <v>2127</v>
      </c>
      <c r="M2402" s="1474">
        <v>1.993E-2</v>
      </c>
      <c r="N2402" s="1475">
        <v>1.6545791130609304</v>
      </c>
      <c r="O2402" s="1475"/>
    </row>
    <row r="2403" spans="11:15">
      <c r="K2403" s="1472">
        <v>44460</v>
      </c>
      <c r="L2403" s="1473" t="s">
        <v>2127</v>
      </c>
      <c r="M2403" s="1474">
        <v>1.993E-2</v>
      </c>
      <c r="N2403" s="1475">
        <v>1.6549088706781634</v>
      </c>
      <c r="O2403" s="1475"/>
    </row>
    <row r="2404" spans="11:15">
      <c r="K2404" s="1472">
        <v>44461</v>
      </c>
      <c r="L2404" s="1473" t="s">
        <v>2127</v>
      </c>
      <c r="M2404" s="1474">
        <v>1.993E-2</v>
      </c>
      <c r="N2404" s="1475">
        <v>1.6552386940160895</v>
      </c>
      <c r="O2404" s="1475"/>
    </row>
    <row r="2405" spans="11:15">
      <c r="K2405" s="1472">
        <v>44462</v>
      </c>
      <c r="L2405" s="1473" t="s">
        <v>2127</v>
      </c>
      <c r="M2405" s="1474">
        <v>2.3687E-2</v>
      </c>
      <c r="N2405" s="1475">
        <v>1.6556307704055411</v>
      </c>
      <c r="O2405" s="1475"/>
    </row>
    <row r="2406" spans="11:15">
      <c r="K2406" s="1472">
        <v>44463</v>
      </c>
      <c r="L2406" s="1473" t="s">
        <v>2127</v>
      </c>
      <c r="M2406" s="1474">
        <v>2.3687E-2</v>
      </c>
      <c r="N2406" s="1475">
        <v>1.656022939666127</v>
      </c>
      <c r="O2406" s="1475"/>
    </row>
    <row r="2407" spans="11:15">
      <c r="K2407" s="1472">
        <v>44464</v>
      </c>
      <c r="L2407" s="1473"/>
      <c r="M2407" s="1474">
        <v>0</v>
      </c>
      <c r="N2407" s="1475">
        <v>1.656022939666127</v>
      </c>
      <c r="O2407" s="1475"/>
    </row>
    <row r="2408" spans="11:15">
      <c r="K2408" s="1472">
        <v>44465</v>
      </c>
      <c r="L2408" s="1473"/>
      <c r="M2408" s="1474">
        <v>0</v>
      </c>
      <c r="N2408" s="1475">
        <v>1.656022939666127</v>
      </c>
      <c r="O2408" s="1475"/>
    </row>
    <row r="2409" spans="11:15">
      <c r="K2409" s="1472">
        <v>44466</v>
      </c>
      <c r="L2409" s="1473" t="s">
        <v>2127</v>
      </c>
      <c r="M2409" s="1474">
        <v>2.3687E-2</v>
      </c>
      <c r="N2409" s="1475">
        <v>1.6564152018198457</v>
      </c>
      <c r="O2409" s="1475"/>
    </row>
    <row r="2410" spans="11:15">
      <c r="K2410" s="1472">
        <v>44467</v>
      </c>
      <c r="L2410" s="1473" t="s">
        <v>2127</v>
      </c>
      <c r="M2410" s="1474">
        <v>2.3687E-2</v>
      </c>
      <c r="N2410" s="1475">
        <v>1.6568075568887006</v>
      </c>
      <c r="O2410" s="1475"/>
    </row>
    <row r="2411" spans="11:15">
      <c r="K2411" s="1472">
        <v>44468</v>
      </c>
      <c r="L2411" s="1473" t="s">
        <v>2127</v>
      </c>
      <c r="M2411" s="1474">
        <v>2.3687E-2</v>
      </c>
      <c r="N2411" s="1475">
        <v>1.6572000048947009</v>
      </c>
      <c r="O2411" s="1475"/>
    </row>
    <row r="2412" spans="11:15">
      <c r="K2412" s="1472">
        <v>44469</v>
      </c>
      <c r="L2412" s="1473" t="s">
        <v>2127</v>
      </c>
      <c r="M2412" s="1474">
        <v>2.3687E-2</v>
      </c>
      <c r="N2412" s="1475">
        <v>1.6575925458598602</v>
      </c>
      <c r="O2412" s="1475"/>
    </row>
    <row r="2413" spans="11:15">
      <c r="K2413" s="1472">
        <v>44470</v>
      </c>
      <c r="L2413" s="1473" t="s">
        <v>2127</v>
      </c>
      <c r="M2413" s="1474">
        <v>2.3687E-2</v>
      </c>
      <c r="N2413" s="1475">
        <v>1.657985179806198</v>
      </c>
      <c r="O2413" s="1475"/>
    </row>
    <row r="2414" spans="11:15">
      <c r="K2414" s="1472">
        <v>44471</v>
      </c>
      <c r="L2414" s="1473"/>
      <c r="M2414" s="1474">
        <v>0</v>
      </c>
      <c r="N2414" s="1475">
        <v>1.657985179806198</v>
      </c>
      <c r="O2414" s="1475"/>
    </row>
    <row r="2415" spans="11:15">
      <c r="K2415" s="1472">
        <v>44472</v>
      </c>
      <c r="L2415" s="1473"/>
      <c r="M2415" s="1474">
        <v>0</v>
      </c>
      <c r="N2415" s="1475">
        <v>1.657985179806198</v>
      </c>
      <c r="O2415" s="1475"/>
    </row>
    <row r="2416" spans="11:15">
      <c r="K2416" s="1472">
        <v>44473</v>
      </c>
      <c r="L2416" s="1473" t="s">
        <v>2127</v>
      </c>
      <c r="M2416" s="1474">
        <v>2.3687E-2</v>
      </c>
      <c r="N2416" s="1475">
        <v>1.6583779067557385</v>
      </c>
      <c r="O2416" s="1475"/>
    </row>
    <row r="2417" spans="11:15">
      <c r="K2417" s="1472">
        <v>44474</v>
      </c>
      <c r="L2417" s="1473" t="s">
        <v>2127</v>
      </c>
      <c r="M2417" s="1474">
        <v>2.3687E-2</v>
      </c>
      <c r="N2417" s="1475">
        <v>1.6587707267305116</v>
      </c>
      <c r="O2417" s="1475"/>
    </row>
    <row r="2418" spans="11:15">
      <c r="K2418" s="1472">
        <v>44475</v>
      </c>
      <c r="L2418" s="1473" t="s">
        <v>2127</v>
      </c>
      <c r="M2418" s="1474">
        <v>2.3687E-2</v>
      </c>
      <c r="N2418" s="1475">
        <v>1.6591636397525522</v>
      </c>
      <c r="O2418" s="1475"/>
    </row>
    <row r="2419" spans="11:15">
      <c r="K2419" s="1472">
        <v>44476</v>
      </c>
      <c r="L2419" s="1473" t="s">
        <v>2127</v>
      </c>
      <c r="M2419" s="1474">
        <v>2.3687E-2</v>
      </c>
      <c r="N2419" s="1475">
        <v>1.6595566458439004</v>
      </c>
      <c r="O2419" s="1475"/>
    </row>
    <row r="2420" spans="11:15">
      <c r="K2420" s="1472">
        <v>44477</v>
      </c>
      <c r="L2420" s="1473" t="s">
        <v>2127</v>
      </c>
      <c r="M2420" s="1474">
        <v>2.3687E-2</v>
      </c>
      <c r="N2420" s="1475">
        <v>1.6599497450266014</v>
      </c>
      <c r="O2420" s="1475"/>
    </row>
    <row r="2421" spans="11:15">
      <c r="K2421" s="1472">
        <v>44478</v>
      </c>
      <c r="L2421" s="1473"/>
      <c r="M2421" s="1474">
        <v>0</v>
      </c>
      <c r="N2421" s="1475">
        <v>1.6599497450266014</v>
      </c>
      <c r="O2421" s="1475"/>
    </row>
    <row r="2422" spans="11:15">
      <c r="K2422" s="1472">
        <v>44479</v>
      </c>
      <c r="L2422" s="1473"/>
      <c r="M2422" s="1474">
        <v>0</v>
      </c>
      <c r="N2422" s="1475">
        <v>1.6599497450266014</v>
      </c>
      <c r="O2422" s="1475"/>
    </row>
    <row r="2423" spans="11:15">
      <c r="K2423" s="1472">
        <v>44480</v>
      </c>
      <c r="L2423" s="1473" t="s">
        <v>2127</v>
      </c>
      <c r="M2423" s="1474">
        <v>2.3687E-2</v>
      </c>
      <c r="N2423" s="1475">
        <v>1.6603429373227059</v>
      </c>
      <c r="O2423" s="1475"/>
    </row>
    <row r="2424" spans="11:15">
      <c r="K2424" s="1472">
        <v>44481</v>
      </c>
      <c r="L2424" s="1473"/>
      <c r="M2424" s="1474">
        <v>0</v>
      </c>
      <c r="N2424" s="1475">
        <v>1.6603429373227059</v>
      </c>
      <c r="O2424" s="1475"/>
    </row>
    <row r="2425" spans="11:15">
      <c r="K2425" s="1472">
        <v>44482</v>
      </c>
      <c r="L2425" s="1473" t="s">
        <v>2127</v>
      </c>
      <c r="M2425" s="1474">
        <v>2.3687E-2</v>
      </c>
      <c r="N2425" s="1475">
        <v>1.6607362227542695</v>
      </c>
      <c r="O2425" s="1475"/>
    </row>
    <row r="2426" spans="11:15">
      <c r="K2426" s="1472">
        <v>44483</v>
      </c>
      <c r="L2426" s="1473" t="s">
        <v>2127</v>
      </c>
      <c r="M2426" s="1474">
        <v>2.3687E-2</v>
      </c>
      <c r="N2426" s="1475">
        <v>1.6611296013433532</v>
      </c>
      <c r="O2426" s="1475"/>
    </row>
    <row r="2427" spans="11:15">
      <c r="K2427" s="1472">
        <v>44484</v>
      </c>
      <c r="L2427" s="1473" t="s">
        <v>2127</v>
      </c>
      <c r="M2427" s="1474">
        <v>2.3687E-2</v>
      </c>
      <c r="N2427" s="1475">
        <v>1.6615230731120234</v>
      </c>
      <c r="O2427" s="1475"/>
    </row>
    <row r="2428" spans="11:15">
      <c r="K2428" s="1472">
        <v>44485</v>
      </c>
      <c r="L2428" s="1473"/>
      <c r="M2428" s="1474">
        <v>0</v>
      </c>
      <c r="N2428" s="1475">
        <v>1.6615230731120234</v>
      </c>
      <c r="O2428" s="1475"/>
    </row>
    <row r="2429" spans="11:15">
      <c r="K2429" s="1472">
        <v>44486</v>
      </c>
      <c r="L2429" s="1473"/>
      <c r="M2429" s="1474">
        <v>0</v>
      </c>
      <c r="N2429" s="1475">
        <v>1.6615230731120234</v>
      </c>
      <c r="O2429" s="1475"/>
    </row>
    <row r="2430" spans="11:15">
      <c r="K2430" s="1472">
        <v>44487</v>
      </c>
      <c r="L2430" s="1473" t="s">
        <v>2127</v>
      </c>
      <c r="M2430" s="1474">
        <v>2.3687E-2</v>
      </c>
      <c r="N2430" s="1475">
        <v>1.6619166380823513</v>
      </c>
      <c r="O2430" s="1475"/>
    </row>
    <row r="2431" spans="11:15">
      <c r="K2431" s="1472">
        <v>44488</v>
      </c>
      <c r="L2431" s="1473" t="s">
        <v>2127</v>
      </c>
      <c r="M2431" s="1474">
        <v>2.3687E-2</v>
      </c>
      <c r="N2431" s="1475">
        <v>1.6623102962764138</v>
      </c>
      <c r="O2431" s="1475"/>
    </row>
    <row r="2432" spans="11:15">
      <c r="K2432" s="1472">
        <v>44489</v>
      </c>
      <c r="L2432" s="1473" t="s">
        <v>2127</v>
      </c>
      <c r="M2432" s="1474">
        <v>2.3687E-2</v>
      </c>
      <c r="N2432" s="1475">
        <v>1.6627040477162927</v>
      </c>
      <c r="O2432" s="1475"/>
    </row>
    <row r="2433" spans="11:15">
      <c r="K2433" s="1472">
        <v>44490</v>
      </c>
      <c r="L2433" s="1473" t="s">
        <v>2127</v>
      </c>
      <c r="M2433" s="1474">
        <v>2.3687E-2</v>
      </c>
      <c r="N2433" s="1475">
        <v>1.6630978924240751</v>
      </c>
      <c r="O2433" s="1475"/>
    </row>
    <row r="2434" spans="11:15">
      <c r="K2434" s="1472">
        <v>44491</v>
      </c>
      <c r="L2434" s="1473" t="s">
        <v>2127</v>
      </c>
      <c r="M2434" s="1474">
        <v>2.3687E-2</v>
      </c>
      <c r="N2434" s="1475">
        <v>1.6634918304218536</v>
      </c>
      <c r="O2434" s="1475"/>
    </row>
    <row r="2435" spans="11:15">
      <c r="K2435" s="1472">
        <v>44492</v>
      </c>
      <c r="L2435" s="1473"/>
      <c r="M2435" s="1474">
        <v>0</v>
      </c>
      <c r="N2435" s="1475">
        <v>1.6634918304218536</v>
      </c>
      <c r="O2435" s="1475"/>
    </row>
    <row r="2436" spans="11:15">
      <c r="K2436" s="1472">
        <v>44493</v>
      </c>
      <c r="L2436" s="1473"/>
      <c r="M2436" s="1474">
        <v>0</v>
      </c>
      <c r="N2436" s="1475">
        <v>1.6634918304218536</v>
      </c>
      <c r="O2436" s="1475"/>
    </row>
    <row r="2437" spans="11:15">
      <c r="K2437" s="1472">
        <v>44494</v>
      </c>
      <c r="L2437" s="1473" t="s">
        <v>2127</v>
      </c>
      <c r="M2437" s="1474">
        <v>2.3687E-2</v>
      </c>
      <c r="N2437" s="1475">
        <v>1.6638858617317256</v>
      </c>
      <c r="O2437" s="1475"/>
    </row>
    <row r="2438" spans="11:15">
      <c r="K2438" s="1472">
        <v>44495</v>
      </c>
      <c r="L2438" s="1473" t="s">
        <v>2127</v>
      </c>
      <c r="M2438" s="1474">
        <v>2.3687E-2</v>
      </c>
      <c r="N2438" s="1475">
        <v>1.664279986375794</v>
      </c>
      <c r="O2438" s="1475"/>
    </row>
    <row r="2439" spans="11:15">
      <c r="K2439" s="1472">
        <v>44496</v>
      </c>
      <c r="L2439" s="1473" t="s">
        <v>2127</v>
      </c>
      <c r="M2439" s="1474">
        <v>2.3687E-2</v>
      </c>
      <c r="N2439" s="1475">
        <v>1.6646742043761666</v>
      </c>
      <c r="O2439" s="1475"/>
    </row>
    <row r="2440" spans="11:15">
      <c r="K2440" s="1472">
        <v>44497</v>
      </c>
      <c r="L2440" s="1473" t="s">
        <v>2127</v>
      </c>
      <c r="M2440" s="1474">
        <v>2.9256000000000001E-2</v>
      </c>
      <c r="N2440" s="1475">
        <v>1.6651612214613991</v>
      </c>
      <c r="O2440" s="1475"/>
    </row>
    <row r="2441" spans="11:15">
      <c r="K2441" s="1472">
        <v>44498</v>
      </c>
      <c r="L2441" s="1473" t="s">
        <v>2127</v>
      </c>
      <c r="M2441" s="1474">
        <v>2.9256000000000001E-2</v>
      </c>
      <c r="N2441" s="1475">
        <v>1.66564838102835</v>
      </c>
      <c r="O2441" s="1475"/>
    </row>
    <row r="2442" spans="11:15">
      <c r="K2442" s="1472">
        <v>44499</v>
      </c>
      <c r="L2442" s="1473"/>
      <c r="M2442" s="1474">
        <v>0</v>
      </c>
      <c r="N2442" s="1475">
        <v>1.66564838102835</v>
      </c>
      <c r="O2442" s="1475"/>
    </row>
    <row r="2443" spans="11:15">
      <c r="K2443" s="1472">
        <v>44500</v>
      </c>
      <c r="L2443" s="1473"/>
      <c r="M2443" s="1474">
        <v>0</v>
      </c>
      <c r="N2443" s="1475">
        <v>1.66564838102835</v>
      </c>
      <c r="O2443" s="1475"/>
    </row>
    <row r="2444" spans="11:15">
      <c r="K2444" s="1472">
        <v>44501</v>
      </c>
      <c r="L2444" s="1473" t="s">
        <v>2127</v>
      </c>
      <c r="M2444" s="1474">
        <v>2.9256000000000001E-2</v>
      </c>
      <c r="N2444" s="1475">
        <v>1.6661356831187037</v>
      </c>
      <c r="O2444" s="1475"/>
    </row>
    <row r="2445" spans="11:15">
      <c r="K2445" s="1472">
        <v>44502</v>
      </c>
      <c r="L2445" s="1473"/>
      <c r="M2445" s="1474">
        <v>0</v>
      </c>
      <c r="N2445" s="1475">
        <v>1.6661356831187037</v>
      </c>
      <c r="O2445" s="1475"/>
    </row>
    <row r="2446" spans="11:15">
      <c r="K2446" s="1472">
        <v>44503</v>
      </c>
      <c r="L2446" s="1473" t="s">
        <v>2127</v>
      </c>
      <c r="M2446" s="1474">
        <v>2.9256000000000001E-2</v>
      </c>
      <c r="N2446" s="1475">
        <v>1.6666231277741572</v>
      </c>
      <c r="O2446" s="1475"/>
    </row>
    <row r="2447" spans="11:15">
      <c r="K2447" s="1472">
        <v>44504</v>
      </c>
      <c r="L2447" s="1473" t="s">
        <v>2127</v>
      </c>
      <c r="M2447" s="1474">
        <v>2.9256000000000001E-2</v>
      </c>
      <c r="N2447" s="1475">
        <v>1.6671107150364191</v>
      </c>
      <c r="O2447" s="1475"/>
    </row>
    <row r="2448" spans="11:15">
      <c r="K2448" s="1472">
        <v>44505</v>
      </c>
      <c r="L2448" s="1473" t="s">
        <v>2127</v>
      </c>
      <c r="M2448" s="1474">
        <v>2.9256000000000001E-2</v>
      </c>
      <c r="N2448" s="1475">
        <v>1.6675984449472103</v>
      </c>
      <c r="O2448" s="1475"/>
    </row>
    <row r="2449" spans="11:15">
      <c r="K2449" s="1472">
        <v>44506</v>
      </c>
      <c r="L2449" s="1473"/>
      <c r="M2449" s="1474">
        <v>0</v>
      </c>
      <c r="N2449" s="1475">
        <v>1.6675984449472103</v>
      </c>
      <c r="O2449" s="1475"/>
    </row>
    <row r="2450" spans="11:15">
      <c r="K2450" s="1472">
        <v>44507</v>
      </c>
      <c r="L2450" s="1473"/>
      <c r="M2450" s="1474">
        <v>0</v>
      </c>
      <c r="N2450" s="1475">
        <v>1.6675984449472103</v>
      </c>
      <c r="O2450" s="1475"/>
    </row>
    <row r="2451" spans="11:15">
      <c r="K2451" s="1472">
        <v>44508</v>
      </c>
      <c r="L2451" s="1473" t="s">
        <v>2127</v>
      </c>
      <c r="M2451" s="1474">
        <v>2.9256000000000001E-2</v>
      </c>
      <c r="N2451" s="1475">
        <v>1.6680863175482643</v>
      </c>
      <c r="O2451" s="1475"/>
    </row>
    <row r="2452" spans="11:15">
      <c r="K2452" s="1472">
        <v>44509</v>
      </c>
      <c r="L2452" s="1473" t="s">
        <v>2127</v>
      </c>
      <c r="M2452" s="1474">
        <v>2.9256000000000001E-2</v>
      </c>
      <c r="N2452" s="1475">
        <v>1.6685743328813265</v>
      </c>
      <c r="O2452" s="1475"/>
    </row>
    <row r="2453" spans="11:15">
      <c r="K2453" s="1472">
        <v>44510</v>
      </c>
      <c r="L2453" s="1473" t="s">
        <v>2127</v>
      </c>
      <c r="M2453" s="1474">
        <v>2.9256000000000001E-2</v>
      </c>
      <c r="N2453" s="1475">
        <v>1.6690624909881544</v>
      </c>
      <c r="O2453" s="1475"/>
    </row>
    <row r="2454" spans="11:15">
      <c r="K2454" s="1472">
        <v>44511</v>
      </c>
      <c r="L2454" s="1473" t="s">
        <v>2127</v>
      </c>
      <c r="M2454" s="1474">
        <v>2.9256000000000001E-2</v>
      </c>
      <c r="N2454" s="1475">
        <v>1.6695507919105181</v>
      </c>
      <c r="O2454" s="1475"/>
    </row>
    <row r="2455" spans="11:15">
      <c r="K2455" s="1472">
        <v>44512</v>
      </c>
      <c r="L2455" s="1473" t="s">
        <v>2127</v>
      </c>
      <c r="M2455" s="1474">
        <v>2.9256000000000001E-2</v>
      </c>
      <c r="N2455" s="1475">
        <v>1.6700392356901996</v>
      </c>
      <c r="O2455" s="1475"/>
    </row>
    <row r="2456" spans="11:15">
      <c r="K2456" s="1472">
        <v>44513</v>
      </c>
      <c r="L2456" s="1473"/>
      <c r="M2456" s="1474">
        <v>0</v>
      </c>
      <c r="N2456" s="1475">
        <v>1.6700392356901996</v>
      </c>
      <c r="O2456" s="1475"/>
    </row>
    <row r="2457" spans="11:15">
      <c r="K2457" s="1472">
        <v>44514</v>
      </c>
      <c r="L2457" s="1473"/>
      <c r="M2457" s="1474">
        <v>0</v>
      </c>
      <c r="N2457" s="1475">
        <v>1.6700392356901996</v>
      </c>
      <c r="O2457" s="1475"/>
    </row>
    <row r="2458" spans="11:15">
      <c r="K2458" s="1472">
        <v>44515</v>
      </c>
      <c r="L2458" s="1473"/>
      <c r="M2458" s="1474">
        <v>0</v>
      </c>
      <c r="N2458" s="1475">
        <v>1.6700392356901996</v>
      </c>
      <c r="O2458" s="1475"/>
    </row>
    <row r="2459" spans="11:15">
      <c r="K2459" s="1472">
        <v>44516</v>
      </c>
      <c r="L2459" s="1473" t="s">
        <v>2127</v>
      </c>
      <c r="M2459" s="1474">
        <v>2.9256000000000001E-2</v>
      </c>
      <c r="N2459" s="1475">
        <v>1.6705278223689934</v>
      </c>
      <c r="O2459" s="1475"/>
    </row>
    <row r="2460" spans="11:15">
      <c r="K2460" s="1472">
        <v>44517</v>
      </c>
      <c r="L2460" s="1473" t="s">
        <v>2127</v>
      </c>
      <c r="M2460" s="1474">
        <v>2.9256000000000001E-2</v>
      </c>
      <c r="N2460" s="1475">
        <v>1.6710165519887059</v>
      </c>
      <c r="O2460" s="1475"/>
    </row>
    <row r="2461" spans="11:15">
      <c r="K2461" s="1472">
        <v>44518</v>
      </c>
      <c r="L2461" s="1473" t="s">
        <v>2127</v>
      </c>
      <c r="M2461" s="1474">
        <v>2.9256000000000001E-2</v>
      </c>
      <c r="N2461" s="1475">
        <v>1.6715054245911558</v>
      </c>
      <c r="O2461" s="1475"/>
    </row>
    <row r="2462" spans="11:15">
      <c r="K2462" s="1472">
        <v>44519</v>
      </c>
      <c r="L2462" s="1473" t="s">
        <v>2127</v>
      </c>
      <c r="M2462" s="1474">
        <v>2.9256000000000001E-2</v>
      </c>
      <c r="N2462" s="1475">
        <v>1.6719944402181743</v>
      </c>
      <c r="O2462" s="1475"/>
    </row>
    <row r="2463" spans="11:15">
      <c r="K2463" s="1472">
        <v>44520</v>
      </c>
      <c r="L2463" s="1473"/>
      <c r="M2463" s="1474">
        <v>0</v>
      </c>
      <c r="N2463" s="1475">
        <v>1.6719944402181743</v>
      </c>
      <c r="O2463" s="1475"/>
    </row>
    <row r="2464" spans="11:15">
      <c r="K2464" s="1472">
        <v>44521</v>
      </c>
      <c r="L2464" s="1473"/>
      <c r="M2464" s="1474">
        <v>0</v>
      </c>
      <c r="N2464" s="1475">
        <v>1.6719944402181743</v>
      </c>
      <c r="O2464" s="1475"/>
    </row>
    <row r="2465" spans="11:15">
      <c r="K2465" s="1472">
        <v>44522</v>
      </c>
      <c r="L2465" s="1473" t="s">
        <v>2127</v>
      </c>
      <c r="M2465" s="1474">
        <v>2.9256000000000001E-2</v>
      </c>
      <c r="N2465" s="1475">
        <v>1.6724835989116047</v>
      </c>
      <c r="O2465" s="1475"/>
    </row>
    <row r="2466" spans="11:15">
      <c r="K2466" s="1472">
        <v>44523</v>
      </c>
      <c r="L2466" s="1473" t="s">
        <v>2127</v>
      </c>
      <c r="M2466" s="1474">
        <v>2.9256000000000001E-2</v>
      </c>
      <c r="N2466" s="1475">
        <v>1.6729729007133025</v>
      </c>
      <c r="O2466" s="1475"/>
    </row>
    <row r="2467" spans="11:15">
      <c r="K2467" s="1472">
        <v>44524</v>
      </c>
      <c r="L2467" s="1473" t="s">
        <v>2127</v>
      </c>
      <c r="M2467" s="1474">
        <v>2.9256000000000001E-2</v>
      </c>
      <c r="N2467" s="1475">
        <v>1.6734623456651354</v>
      </c>
      <c r="O2467" s="1475"/>
    </row>
    <row r="2468" spans="11:15">
      <c r="K2468" s="1472">
        <v>44525</v>
      </c>
      <c r="L2468" s="1473" t="s">
        <v>2127</v>
      </c>
      <c r="M2468" s="1474">
        <v>2.9256000000000001E-2</v>
      </c>
      <c r="N2468" s="1475">
        <v>1.6739519338089834</v>
      </c>
      <c r="O2468" s="1475"/>
    </row>
    <row r="2469" spans="11:15">
      <c r="K2469" s="1472">
        <v>44526</v>
      </c>
      <c r="L2469" s="1473" t="s">
        <v>2127</v>
      </c>
      <c r="M2469" s="1474">
        <v>2.9256000000000001E-2</v>
      </c>
      <c r="N2469" s="1475">
        <v>1.6744416651867389</v>
      </c>
      <c r="O2469" s="1475"/>
    </row>
    <row r="2470" spans="11:15">
      <c r="K2470" s="1472">
        <v>44527</v>
      </c>
      <c r="L2470" s="1473"/>
      <c r="M2470" s="1474">
        <v>0</v>
      </c>
      <c r="N2470" s="1475">
        <v>1.6744416651867389</v>
      </c>
      <c r="O2470" s="1475"/>
    </row>
    <row r="2471" spans="11:15">
      <c r="K2471" s="1472">
        <v>44528</v>
      </c>
      <c r="L2471" s="1473"/>
      <c r="M2471" s="1474">
        <v>0</v>
      </c>
      <c r="N2471" s="1475">
        <v>1.6744416651867389</v>
      </c>
      <c r="O2471" s="1475"/>
    </row>
    <row r="2472" spans="11:15">
      <c r="K2472" s="1472">
        <v>44529</v>
      </c>
      <c r="L2472" s="1473" t="s">
        <v>2127</v>
      </c>
      <c r="M2472" s="1474">
        <v>2.9256000000000001E-2</v>
      </c>
      <c r="N2472" s="1475">
        <v>1.6749315398403062</v>
      </c>
      <c r="O2472" s="1475"/>
    </row>
    <row r="2473" spans="11:15">
      <c r="K2473" s="1472">
        <v>44530</v>
      </c>
      <c r="L2473" s="1473" t="s">
        <v>2127</v>
      </c>
      <c r="M2473" s="1474">
        <v>2.9256000000000001E-2</v>
      </c>
      <c r="N2473" s="1475">
        <v>1.6754215578116021</v>
      </c>
      <c r="O2473" s="1475"/>
    </row>
    <row r="2474" spans="11:15">
      <c r="K2474" s="1472">
        <v>44531</v>
      </c>
      <c r="L2474" s="1473" t="s">
        <v>2127</v>
      </c>
      <c r="M2474" s="1474">
        <v>2.9256000000000001E-2</v>
      </c>
      <c r="N2474" s="1475">
        <v>1.6759117191425557</v>
      </c>
      <c r="O2474" s="1475"/>
    </row>
    <row r="2475" spans="11:15">
      <c r="K2475" s="1472">
        <v>44532</v>
      </c>
      <c r="L2475" s="1473" t="s">
        <v>2127</v>
      </c>
      <c r="M2475" s="1474">
        <v>2.9256000000000001E-2</v>
      </c>
      <c r="N2475" s="1475">
        <v>1.6764020238751083</v>
      </c>
      <c r="O2475" s="1475"/>
    </row>
    <row r="2476" spans="11:15">
      <c r="K2476" s="1472">
        <v>44533</v>
      </c>
      <c r="L2476" s="1473" t="s">
        <v>2127</v>
      </c>
      <c r="M2476" s="1474">
        <v>2.9256000000000001E-2</v>
      </c>
      <c r="N2476" s="1475">
        <v>1.6768924720512133</v>
      </c>
      <c r="O2476" s="1475"/>
    </row>
    <row r="2477" spans="11:15">
      <c r="K2477" s="1472">
        <v>44534</v>
      </c>
      <c r="L2477" s="1473"/>
      <c r="M2477" s="1474">
        <v>0</v>
      </c>
      <c r="N2477" s="1475">
        <v>1.6768924720512133</v>
      </c>
      <c r="O2477" s="1475"/>
    </row>
    <row r="2478" spans="11:15">
      <c r="K2478" s="1472">
        <v>44535</v>
      </c>
      <c r="L2478" s="1473"/>
      <c r="M2478" s="1474">
        <v>0</v>
      </c>
      <c r="N2478" s="1475">
        <v>1.6768924720512133</v>
      </c>
      <c r="O2478" s="1475"/>
    </row>
    <row r="2479" spans="11:15">
      <c r="K2479" s="1472">
        <v>44536</v>
      </c>
      <c r="L2479" s="1473" t="s">
        <v>2127</v>
      </c>
      <c r="M2479" s="1474">
        <v>2.9256000000000001E-2</v>
      </c>
      <c r="N2479" s="1475">
        <v>1.6773830637128369</v>
      </c>
      <c r="O2479" s="1475"/>
    </row>
    <row r="2480" spans="11:15">
      <c r="K2480" s="1472">
        <v>44537</v>
      </c>
      <c r="L2480" s="1473" t="s">
        <v>2127</v>
      </c>
      <c r="M2480" s="1474">
        <v>2.9256000000000001E-2</v>
      </c>
      <c r="N2480" s="1475">
        <v>1.6778737989019568</v>
      </c>
      <c r="O2480" s="1475"/>
    </row>
    <row r="2481" spans="11:15">
      <c r="K2481" s="1472">
        <v>44538</v>
      </c>
      <c r="L2481" s="1473" t="s">
        <v>2127</v>
      </c>
      <c r="M2481" s="1474">
        <v>2.9256000000000001E-2</v>
      </c>
      <c r="N2481" s="1475">
        <v>1.6783646776605636</v>
      </c>
      <c r="O2481" s="1475"/>
    </row>
    <row r="2482" spans="11:15">
      <c r="K2482" s="1472">
        <v>44539</v>
      </c>
      <c r="L2482" s="1473" t="s">
        <v>2127</v>
      </c>
      <c r="M2482" s="1474">
        <v>3.4749000000000002E-2</v>
      </c>
      <c r="N2482" s="1475">
        <v>1.678947892602404</v>
      </c>
      <c r="O2482" s="1475"/>
    </row>
    <row r="2483" spans="11:15">
      <c r="K2483" s="1472">
        <v>44540</v>
      </c>
      <c r="L2483" s="1473" t="s">
        <v>2127</v>
      </c>
      <c r="M2483" s="1474">
        <v>3.4749000000000002E-2</v>
      </c>
      <c r="N2483" s="1475">
        <v>1.6795313102056044</v>
      </c>
      <c r="O2483" s="1475"/>
    </row>
    <row r="2484" spans="11:15">
      <c r="K2484" s="1472">
        <v>44541</v>
      </c>
      <c r="L2484" s="1473"/>
      <c r="M2484" s="1474">
        <v>0</v>
      </c>
      <c r="N2484" s="1475">
        <v>1.6795313102056044</v>
      </c>
      <c r="O2484" s="1475"/>
    </row>
    <row r="2485" spans="11:15">
      <c r="K2485" s="1472">
        <v>44542</v>
      </c>
      <c r="L2485" s="1473"/>
      <c r="M2485" s="1474">
        <v>0</v>
      </c>
      <c r="N2485" s="1475">
        <v>1.6795313102056044</v>
      </c>
      <c r="O2485" s="1475"/>
    </row>
    <row r="2486" spans="11:15">
      <c r="K2486" s="1472">
        <v>44543</v>
      </c>
      <c r="L2486" s="1473" t="s">
        <v>2127</v>
      </c>
      <c r="M2486" s="1474">
        <v>3.4749000000000002E-2</v>
      </c>
      <c r="N2486" s="1475">
        <v>1.6801149305405878</v>
      </c>
      <c r="O2486" s="1475"/>
    </row>
    <row r="2487" spans="11:15">
      <c r="K2487" s="1472">
        <v>44544</v>
      </c>
      <c r="L2487" s="1473" t="s">
        <v>2127</v>
      </c>
      <c r="M2487" s="1474">
        <v>3.4749000000000002E-2</v>
      </c>
      <c r="N2487" s="1475">
        <v>1.6806987536778013</v>
      </c>
      <c r="O2487" s="1475"/>
    </row>
    <row r="2488" spans="11:15">
      <c r="K2488" s="1472">
        <v>44545</v>
      </c>
      <c r="L2488" s="1473" t="s">
        <v>2127</v>
      </c>
      <c r="M2488" s="1474">
        <v>3.4749000000000002E-2</v>
      </c>
      <c r="N2488" s="1475">
        <v>1.6812827796877168</v>
      </c>
      <c r="O2488" s="1475"/>
    </row>
    <row r="2489" spans="11:15">
      <c r="K2489" s="1472">
        <v>44546</v>
      </c>
      <c r="L2489" s="1473" t="s">
        <v>2127</v>
      </c>
      <c r="M2489" s="1474">
        <v>3.4749000000000002E-2</v>
      </c>
      <c r="N2489" s="1475">
        <v>1.6818670086408305</v>
      </c>
      <c r="O2489" s="1475"/>
    </row>
    <row r="2490" spans="11:15">
      <c r="K2490" s="1472">
        <v>44547</v>
      </c>
      <c r="L2490" s="1473" t="s">
        <v>2127</v>
      </c>
      <c r="M2490" s="1474">
        <v>3.4749000000000002E-2</v>
      </c>
      <c r="N2490" s="1475">
        <v>1.6824514406076632</v>
      </c>
      <c r="O2490" s="1475"/>
    </row>
    <row r="2491" spans="11:15">
      <c r="K2491" s="1472">
        <v>44548</v>
      </c>
      <c r="L2491" s="1473"/>
      <c r="M2491" s="1474">
        <v>0</v>
      </c>
      <c r="N2491" s="1475">
        <v>1.6824514406076632</v>
      </c>
      <c r="O2491" s="1475"/>
    </row>
    <row r="2492" spans="11:15">
      <c r="K2492" s="1472">
        <v>44549</v>
      </c>
      <c r="L2492" s="1473"/>
      <c r="M2492" s="1474">
        <v>0</v>
      </c>
      <c r="N2492" s="1475">
        <v>1.6824514406076632</v>
      </c>
      <c r="O2492" s="1475"/>
    </row>
    <row r="2493" spans="11:15">
      <c r="K2493" s="1472">
        <v>44550</v>
      </c>
      <c r="L2493" s="1473" t="s">
        <v>2127</v>
      </c>
      <c r="M2493" s="1474">
        <v>3.4749000000000002E-2</v>
      </c>
      <c r="N2493" s="1475">
        <v>1.6830360756587599</v>
      </c>
      <c r="O2493" s="1475"/>
    </row>
    <row r="2494" spans="11:15">
      <c r="K2494" s="1472">
        <v>44551</v>
      </c>
      <c r="L2494" s="1473" t="s">
        <v>2127</v>
      </c>
      <c r="M2494" s="1474">
        <v>3.4749000000000002E-2</v>
      </c>
      <c r="N2494" s="1475">
        <v>1.6836209138646905</v>
      </c>
      <c r="O2494" s="1475"/>
    </row>
    <row r="2495" spans="11:15">
      <c r="K2495" s="1472">
        <v>44552</v>
      </c>
      <c r="L2495" s="1473" t="s">
        <v>2127</v>
      </c>
      <c r="M2495" s="1474">
        <v>3.4749000000000002E-2</v>
      </c>
      <c r="N2495" s="1475">
        <v>1.6842059552960493</v>
      </c>
      <c r="O2495" s="1475"/>
    </row>
    <row r="2496" spans="11:15">
      <c r="K2496" s="1472">
        <v>44553</v>
      </c>
      <c r="L2496" s="1473" t="s">
        <v>2127</v>
      </c>
      <c r="M2496" s="1474">
        <v>3.4749000000000002E-2</v>
      </c>
      <c r="N2496" s="1475">
        <v>1.6847912000234551</v>
      </c>
      <c r="O2496" s="1475"/>
    </row>
    <row r="2497" spans="11:15">
      <c r="K2497" s="1472">
        <v>44554</v>
      </c>
      <c r="L2497" s="1473" t="s">
        <v>2127</v>
      </c>
      <c r="M2497" s="1474">
        <v>3.4749000000000002E-2</v>
      </c>
      <c r="N2497" s="1475">
        <v>1.6853766481175512</v>
      </c>
      <c r="O2497" s="1475"/>
    </row>
    <row r="2498" spans="11:15">
      <c r="K2498" s="1472">
        <v>44555</v>
      </c>
      <c r="L2498" s="1473"/>
      <c r="M2498" s="1474">
        <v>0</v>
      </c>
      <c r="N2498" s="1475">
        <v>1.6853766481175512</v>
      </c>
      <c r="O2498" s="1475"/>
    </row>
    <row r="2499" spans="11:15">
      <c r="K2499" s="1472">
        <v>44556</v>
      </c>
      <c r="L2499" s="1473"/>
      <c r="M2499" s="1474">
        <v>0</v>
      </c>
      <c r="N2499" s="1475">
        <v>1.6853766481175512</v>
      </c>
      <c r="O2499" s="1475"/>
    </row>
    <row r="2500" spans="11:15">
      <c r="K2500" s="1472">
        <v>44557</v>
      </c>
      <c r="L2500" s="1473" t="s">
        <v>2127</v>
      </c>
      <c r="M2500" s="1474">
        <v>3.4749000000000002E-2</v>
      </c>
      <c r="N2500" s="1475">
        <v>1.6859622996490056</v>
      </c>
      <c r="O2500" s="1475"/>
    </row>
    <row r="2501" spans="11:15">
      <c r="K2501" s="1472">
        <v>44558</v>
      </c>
      <c r="L2501" s="1473" t="s">
        <v>2127</v>
      </c>
      <c r="M2501" s="1474">
        <v>3.4749000000000002E-2</v>
      </c>
      <c r="N2501" s="1475">
        <v>1.6865481546885106</v>
      </c>
      <c r="O2501" s="1475"/>
    </row>
    <row r="2502" spans="11:15">
      <c r="K2502" s="1472">
        <v>44559</v>
      </c>
      <c r="L2502" s="1473" t="s">
        <v>2127</v>
      </c>
      <c r="M2502" s="1474">
        <v>3.4749000000000002E-2</v>
      </c>
      <c r="N2502" s="1475">
        <v>1.6871342133067833</v>
      </c>
      <c r="O2502" s="1475"/>
    </row>
    <row r="2503" spans="11:15">
      <c r="K2503" s="1472">
        <v>44560</v>
      </c>
      <c r="L2503" s="1473" t="s">
        <v>2127</v>
      </c>
      <c r="M2503" s="1474">
        <v>3.4749000000000002E-2</v>
      </c>
      <c r="N2503" s="1475">
        <v>1.6877204755745652</v>
      </c>
      <c r="O2503" s="1475"/>
    </row>
    <row r="2504" spans="11:15">
      <c r="K2504" s="1472">
        <v>44561</v>
      </c>
      <c r="L2504" s="1473" t="s">
        <v>2127</v>
      </c>
      <c r="M2504" s="1474">
        <v>3.4749000000000002E-2</v>
      </c>
      <c r="N2504" s="1475">
        <v>1.6883069415626226</v>
      </c>
      <c r="O2504" s="1475"/>
    </row>
    <row r="2505" spans="11:15">
      <c r="K2505" s="1472">
        <v>44562</v>
      </c>
      <c r="L2505" s="1473"/>
      <c r="M2505" s="1474">
        <v>0</v>
      </c>
      <c r="N2505" s="1475">
        <v>1.6883069415626226</v>
      </c>
      <c r="O2505" s="1475"/>
    </row>
    <row r="2506" spans="11:15">
      <c r="K2506" s="1472">
        <v>44563</v>
      </c>
      <c r="L2506" s="1473"/>
      <c r="M2506" s="1474">
        <v>0</v>
      </c>
      <c r="N2506" s="1475">
        <v>1.6883069415626226</v>
      </c>
      <c r="O2506" s="1475"/>
    </row>
    <row r="2507" spans="11:15">
      <c r="K2507" s="1472">
        <v>44564</v>
      </c>
      <c r="L2507" s="1473" t="s">
        <v>2127</v>
      </c>
      <c r="M2507" s="1474">
        <v>3.4749000000000002E-2</v>
      </c>
      <c r="N2507" s="1475">
        <v>1.6888936113417463</v>
      </c>
      <c r="O2507" s="1475"/>
    </row>
    <row r="2508" spans="11:15">
      <c r="K2508" s="1472">
        <v>44565</v>
      </c>
      <c r="L2508" s="1473" t="s">
        <v>2127</v>
      </c>
      <c r="M2508" s="1474">
        <v>3.4749000000000002E-2</v>
      </c>
      <c r="N2508" s="1475">
        <v>1.6894804849827514</v>
      </c>
      <c r="O2508" s="1475"/>
    </row>
    <row r="2509" spans="11:15">
      <c r="K2509" s="1472">
        <v>44566</v>
      </c>
      <c r="L2509" s="1473" t="s">
        <v>2127</v>
      </c>
      <c r="M2509" s="1474">
        <v>3.4749000000000002E-2</v>
      </c>
      <c r="N2509" s="1475">
        <v>1.6900675625564781</v>
      </c>
      <c r="O2509" s="1475"/>
    </row>
    <row r="2510" spans="11:15">
      <c r="K2510" s="1472">
        <v>44567</v>
      </c>
      <c r="L2510" s="1473" t="s">
        <v>2127</v>
      </c>
      <c r="M2510" s="1474">
        <v>3.4749000000000002E-2</v>
      </c>
      <c r="N2510" s="1475">
        <v>1.6906548441337907</v>
      </c>
      <c r="O2510" s="1475"/>
    </row>
    <row r="2511" spans="11:15">
      <c r="K2511" s="1472">
        <v>44568</v>
      </c>
      <c r="L2511" s="1473" t="s">
        <v>2127</v>
      </c>
      <c r="M2511" s="1474">
        <v>3.4749000000000002E-2</v>
      </c>
      <c r="N2511" s="1475">
        <v>1.6912423297855788</v>
      </c>
      <c r="O2511" s="1475"/>
    </row>
    <row r="2512" spans="11:15">
      <c r="K2512" s="1472">
        <v>44569</v>
      </c>
      <c r="L2512" s="1473"/>
      <c r="M2512" s="1474">
        <v>0</v>
      </c>
      <c r="N2512" s="1475">
        <v>1.6912423297855788</v>
      </c>
      <c r="O2512" s="1475"/>
    </row>
    <row r="2513" spans="11:15">
      <c r="K2513" s="1472">
        <v>44570</v>
      </c>
      <c r="L2513" s="1473"/>
      <c r="M2513" s="1474">
        <v>0</v>
      </c>
      <c r="N2513" s="1475">
        <v>1.6912423297855788</v>
      </c>
      <c r="O2513" s="1475"/>
    </row>
    <row r="2514" spans="11:15">
      <c r="K2514" s="1472">
        <v>44571</v>
      </c>
      <c r="L2514" s="1473" t="s">
        <v>2127</v>
      </c>
      <c r="M2514" s="1474">
        <v>3.4749000000000002E-2</v>
      </c>
      <c r="N2514" s="1475">
        <v>1.691830019582756</v>
      </c>
      <c r="O2514" s="1475"/>
    </row>
    <row r="2515" spans="11:15">
      <c r="K2515" s="1472">
        <v>44572</v>
      </c>
      <c r="L2515" s="1473" t="s">
        <v>2127</v>
      </c>
      <c r="M2515" s="1474">
        <v>3.4749000000000002E-2</v>
      </c>
      <c r="N2515" s="1475">
        <v>1.6924179135962609</v>
      </c>
      <c r="O2515" s="1475"/>
    </row>
    <row r="2516" spans="11:15">
      <c r="K2516" s="1472">
        <v>44573</v>
      </c>
      <c r="L2516" s="1473" t="s">
        <v>2127</v>
      </c>
      <c r="M2516" s="1474">
        <v>3.4749000000000002E-2</v>
      </c>
      <c r="N2516" s="1475">
        <v>1.6930060118970565</v>
      </c>
      <c r="O2516" s="1475"/>
    </row>
    <row r="2517" spans="11:15">
      <c r="K2517" s="1472">
        <v>44574</v>
      </c>
      <c r="L2517" s="1473" t="s">
        <v>2127</v>
      </c>
      <c r="M2517" s="1474">
        <v>3.4749000000000002E-2</v>
      </c>
      <c r="N2517" s="1475">
        <v>1.6935943145561305</v>
      </c>
      <c r="O2517" s="1475"/>
    </row>
    <row r="2518" spans="11:15">
      <c r="K2518" s="1472">
        <v>44575</v>
      </c>
      <c r="L2518" s="1473" t="s">
        <v>2127</v>
      </c>
      <c r="M2518" s="1474">
        <v>3.4749000000000002E-2</v>
      </c>
      <c r="N2518" s="1475">
        <v>1.6941828216444956</v>
      </c>
      <c r="O2518" s="1475"/>
    </row>
    <row r="2519" spans="11:15">
      <c r="K2519" s="1472">
        <v>44576</v>
      </c>
      <c r="L2519" s="1473"/>
      <c r="M2519" s="1474">
        <v>0</v>
      </c>
      <c r="N2519" s="1475">
        <v>1.6941828216444956</v>
      </c>
      <c r="O2519" s="1475"/>
    </row>
    <row r="2520" spans="11:15">
      <c r="K2520" s="1472">
        <v>44577</v>
      </c>
      <c r="L2520" s="1473"/>
      <c r="M2520" s="1474">
        <v>0</v>
      </c>
      <c r="N2520" s="1475">
        <v>1.6941828216444956</v>
      </c>
      <c r="O2520" s="1475"/>
    </row>
    <row r="2521" spans="11:15">
      <c r="K2521" s="1472">
        <v>44578</v>
      </c>
      <c r="L2521" s="1473" t="s">
        <v>2127</v>
      </c>
      <c r="M2521" s="1474">
        <v>3.4749000000000002E-2</v>
      </c>
      <c r="N2521" s="1475">
        <v>1.694771533233189</v>
      </c>
      <c r="O2521" s="1475"/>
    </row>
    <row r="2522" spans="11:15">
      <c r="K2522" s="1472">
        <v>44579</v>
      </c>
      <c r="L2522" s="1473" t="s">
        <v>2127</v>
      </c>
      <c r="M2522" s="1474">
        <v>3.4749000000000002E-2</v>
      </c>
      <c r="N2522" s="1475">
        <v>1.6953604493932721</v>
      </c>
      <c r="O2522" s="1475"/>
    </row>
    <row r="2523" spans="11:15">
      <c r="K2523" s="1472">
        <v>44580</v>
      </c>
      <c r="L2523" s="1473" t="s">
        <v>2127</v>
      </c>
      <c r="M2523" s="1474">
        <v>3.4749000000000002E-2</v>
      </c>
      <c r="N2523" s="1475">
        <v>1.6959495701958318</v>
      </c>
      <c r="O2523" s="1475"/>
    </row>
    <row r="2524" spans="11:15">
      <c r="K2524" s="1472">
        <v>44581</v>
      </c>
      <c r="L2524" s="1473" t="s">
        <v>2127</v>
      </c>
      <c r="M2524" s="1474">
        <v>3.4749000000000002E-2</v>
      </c>
      <c r="N2524" s="1475">
        <v>1.6965388957119791</v>
      </c>
      <c r="O2524" s="1475"/>
    </row>
    <row r="2525" spans="11:15">
      <c r="K2525" s="1472">
        <v>44582</v>
      </c>
      <c r="L2525" s="1473" t="s">
        <v>2127</v>
      </c>
      <c r="M2525" s="1474">
        <v>3.4749000000000002E-2</v>
      </c>
      <c r="N2525" s="1475">
        <v>1.6971284260128501</v>
      </c>
      <c r="O2525" s="1475"/>
    </row>
    <row r="2526" spans="11:15">
      <c r="K2526" s="1472">
        <v>44583</v>
      </c>
      <c r="L2526" s="1473"/>
      <c r="M2526" s="1474">
        <v>0</v>
      </c>
      <c r="N2526" s="1475">
        <v>1.6971284260128501</v>
      </c>
      <c r="O2526" s="1475"/>
    </row>
    <row r="2527" spans="11:15">
      <c r="K2527" s="1472">
        <v>44584</v>
      </c>
      <c r="L2527" s="1473"/>
      <c r="M2527" s="1474">
        <v>0</v>
      </c>
      <c r="N2527" s="1475">
        <v>1.6971284260128501</v>
      </c>
      <c r="O2527" s="1475"/>
    </row>
    <row r="2528" spans="11:15">
      <c r="K2528" s="1472">
        <v>44585</v>
      </c>
      <c r="L2528" s="1473" t="s">
        <v>2127</v>
      </c>
      <c r="M2528" s="1474">
        <v>3.4749000000000002E-2</v>
      </c>
      <c r="N2528" s="1475">
        <v>1.6977181611696053</v>
      </c>
      <c r="O2528" s="1475"/>
    </row>
    <row r="2529" spans="11:15">
      <c r="K2529" s="1472">
        <v>44586</v>
      </c>
      <c r="L2529" s="1473" t="s">
        <v>2127</v>
      </c>
      <c r="M2529" s="1474">
        <v>3.4749000000000002E-2</v>
      </c>
      <c r="N2529" s="1475">
        <v>1.69830810125343</v>
      </c>
      <c r="O2529" s="1475"/>
    </row>
    <row r="2530" spans="11:15">
      <c r="K2530" s="1472">
        <v>44587</v>
      </c>
      <c r="L2530" s="1473" t="s">
        <v>2127</v>
      </c>
      <c r="M2530" s="1474">
        <v>3.4749000000000002E-2</v>
      </c>
      <c r="N2530" s="1475">
        <v>1.6988982463355347</v>
      </c>
      <c r="O2530" s="1475"/>
    </row>
    <row r="2531" spans="11:15">
      <c r="K2531" s="1472">
        <v>44588</v>
      </c>
      <c r="L2531" s="1473" t="s">
        <v>2127</v>
      </c>
      <c r="M2531" s="1474">
        <v>3.4749000000000002E-2</v>
      </c>
      <c r="N2531" s="1475">
        <v>1.6994885964871538</v>
      </c>
      <c r="O2531" s="1475"/>
    </row>
    <row r="2532" spans="11:15">
      <c r="K2532" s="1472">
        <v>44589</v>
      </c>
      <c r="L2532" s="1473" t="s">
        <v>2127</v>
      </c>
      <c r="M2532" s="1474">
        <v>3.4749000000000002E-2</v>
      </c>
      <c r="N2532" s="1475">
        <v>1.700079151779547</v>
      </c>
      <c r="O2532" s="1475"/>
    </row>
    <row r="2533" spans="11:15">
      <c r="K2533" s="1472">
        <v>44590</v>
      </c>
      <c r="L2533" s="1473"/>
      <c r="M2533" s="1474">
        <v>0</v>
      </c>
      <c r="N2533" s="1475">
        <v>1.700079151779547</v>
      </c>
      <c r="O2533" s="1475"/>
    </row>
    <row r="2534" spans="11:15">
      <c r="K2534" s="1472">
        <v>44591</v>
      </c>
      <c r="L2534" s="1473"/>
      <c r="M2534" s="1474">
        <v>0</v>
      </c>
      <c r="N2534" s="1475">
        <v>1.700079151779547</v>
      </c>
      <c r="O2534" s="1475"/>
    </row>
    <row r="2535" spans="11:15">
      <c r="K2535" s="1472">
        <v>44592</v>
      </c>
      <c r="L2535" s="1473" t="s">
        <v>2127</v>
      </c>
      <c r="M2535" s="1474">
        <v>3.4749000000000002E-2</v>
      </c>
      <c r="N2535" s="1475">
        <v>1.700669912283999</v>
      </c>
      <c r="O2535" s="1475"/>
    </row>
    <row r="2536" spans="11:15">
      <c r="K2536" s="1472">
        <v>44593</v>
      </c>
      <c r="L2536" s="1473" t="s">
        <v>2127</v>
      </c>
      <c r="M2536" s="1474">
        <v>3.4749000000000002E-2</v>
      </c>
      <c r="N2536" s="1475">
        <v>1.7012608780718186</v>
      </c>
      <c r="O2536" s="1475"/>
    </row>
    <row r="2537" spans="11:15">
      <c r="K2537" s="1472">
        <v>44594</v>
      </c>
      <c r="L2537" s="1473" t="s">
        <v>2127</v>
      </c>
      <c r="M2537" s="1474">
        <v>3.4749000000000002E-2</v>
      </c>
      <c r="N2537" s="1475">
        <v>1.7018520492143399</v>
      </c>
      <c r="O2537" s="1475"/>
    </row>
    <row r="2538" spans="11:15">
      <c r="K2538" s="1472">
        <v>44595</v>
      </c>
      <c r="L2538" s="1473" t="s">
        <v>2127</v>
      </c>
      <c r="M2538" s="1474">
        <v>4.0168000000000002E-2</v>
      </c>
      <c r="N2538" s="1475">
        <v>1.7025356491454682</v>
      </c>
      <c r="O2538" s="1475"/>
    </row>
    <row r="2539" spans="11:15">
      <c r="K2539" s="1472">
        <v>44596</v>
      </c>
      <c r="L2539" s="1473" t="s">
        <v>2127</v>
      </c>
      <c r="M2539" s="1474">
        <v>4.0168000000000002E-2</v>
      </c>
      <c r="N2539" s="1475">
        <v>1.7032195236650169</v>
      </c>
      <c r="O2539" s="1475"/>
    </row>
    <row r="2540" spans="11:15">
      <c r="K2540" s="1472">
        <v>44597</v>
      </c>
      <c r="L2540" s="1473"/>
      <c r="M2540" s="1474">
        <v>0</v>
      </c>
      <c r="N2540" s="1475">
        <v>1.7032195236650169</v>
      </c>
      <c r="O2540" s="1475"/>
    </row>
    <row r="2541" spans="11:15">
      <c r="K2541" s="1472">
        <v>44598</v>
      </c>
      <c r="L2541" s="1473"/>
      <c r="M2541" s="1474">
        <v>0</v>
      </c>
      <c r="N2541" s="1475">
        <v>1.7032195236650169</v>
      </c>
      <c r="O2541" s="1475"/>
    </row>
    <row r="2542" spans="11:15">
      <c r="K2542" s="1472">
        <v>44599</v>
      </c>
      <c r="L2542" s="1473" t="s">
        <v>2127</v>
      </c>
      <c r="M2542" s="1474">
        <v>4.0168000000000002E-2</v>
      </c>
      <c r="N2542" s="1475">
        <v>1.7039036728832826</v>
      </c>
      <c r="O2542" s="1475"/>
    </row>
    <row r="2543" spans="11:15">
      <c r="K2543" s="1472">
        <v>44600</v>
      </c>
      <c r="L2543" s="1473" t="s">
        <v>2127</v>
      </c>
      <c r="M2543" s="1474">
        <v>4.0168000000000002E-2</v>
      </c>
      <c r="N2543" s="1475">
        <v>1.7045880969106062</v>
      </c>
      <c r="O2543" s="1475"/>
    </row>
    <row r="2544" spans="11:15">
      <c r="K2544" s="1472">
        <v>44601</v>
      </c>
      <c r="L2544" s="1473" t="s">
        <v>2127</v>
      </c>
      <c r="M2544" s="1474">
        <v>4.0168000000000002E-2</v>
      </c>
      <c r="N2544" s="1475">
        <v>1.7052727958573732</v>
      </c>
      <c r="O2544" s="1475"/>
    </row>
    <row r="2545" spans="11:15">
      <c r="K2545" s="1472">
        <v>44602</v>
      </c>
      <c r="L2545" s="1473" t="s">
        <v>2127</v>
      </c>
      <c r="M2545" s="1474">
        <v>4.0168000000000002E-2</v>
      </c>
      <c r="N2545" s="1475">
        <v>1.7059577698340131</v>
      </c>
      <c r="O2545" s="1475"/>
    </row>
    <row r="2546" spans="11:15">
      <c r="K2546" s="1472">
        <v>44603</v>
      </c>
      <c r="L2546" s="1473" t="s">
        <v>2127</v>
      </c>
      <c r="M2546" s="1474">
        <v>4.0168000000000002E-2</v>
      </c>
      <c r="N2546" s="1475">
        <v>1.706643018951</v>
      </c>
      <c r="O2546" s="1475"/>
    </row>
    <row r="2547" spans="11:15">
      <c r="K2547" s="1472">
        <v>44604</v>
      </c>
      <c r="L2547" s="1473"/>
      <c r="M2547" s="1474">
        <v>0</v>
      </c>
      <c r="N2547" s="1475">
        <v>1.706643018951</v>
      </c>
      <c r="O2547" s="1475"/>
    </row>
    <row r="2548" spans="11:15">
      <c r="K2548" s="1472">
        <v>44605</v>
      </c>
      <c r="L2548" s="1473"/>
      <c r="M2548" s="1474">
        <v>0</v>
      </c>
      <c r="N2548" s="1475">
        <v>1.706643018951</v>
      </c>
      <c r="O2548" s="1475"/>
    </row>
    <row r="2549" spans="11:15">
      <c r="K2549" s="1472">
        <v>44606</v>
      </c>
      <c r="L2549" s="1473" t="s">
        <v>2127</v>
      </c>
      <c r="M2549" s="1474">
        <v>4.0168000000000002E-2</v>
      </c>
      <c r="N2549" s="1475">
        <v>1.7073285433188521</v>
      </c>
      <c r="O2549" s="1475"/>
    </row>
    <row r="2550" spans="11:15">
      <c r="K2550" s="1472">
        <v>44607</v>
      </c>
      <c r="L2550" s="1473" t="s">
        <v>2127</v>
      </c>
      <c r="M2550" s="1474">
        <v>4.0168000000000002E-2</v>
      </c>
      <c r="N2550" s="1475">
        <v>1.7080143430481323</v>
      </c>
      <c r="O2550" s="1475"/>
    </row>
    <row r="2551" spans="11:15">
      <c r="K2551" s="1472">
        <v>44608</v>
      </c>
      <c r="L2551" s="1473" t="s">
        <v>2127</v>
      </c>
      <c r="M2551" s="1474">
        <v>4.0168000000000002E-2</v>
      </c>
      <c r="N2551" s="1475">
        <v>1.7087004182494478</v>
      </c>
      <c r="O2551" s="1475"/>
    </row>
    <row r="2552" spans="11:15">
      <c r="K2552" s="1472">
        <v>44609</v>
      </c>
      <c r="L2552" s="1473" t="s">
        <v>2127</v>
      </c>
      <c r="M2552" s="1474">
        <v>4.0168000000000002E-2</v>
      </c>
      <c r="N2552" s="1475">
        <v>1.7093867690334503</v>
      </c>
      <c r="O2552" s="1475"/>
    </row>
    <row r="2553" spans="11:15">
      <c r="K2553" s="1472">
        <v>44610</v>
      </c>
      <c r="L2553" s="1473" t="s">
        <v>2127</v>
      </c>
      <c r="M2553" s="1474">
        <v>4.0168000000000002E-2</v>
      </c>
      <c r="N2553" s="1475">
        <v>1.7100733955108356</v>
      </c>
      <c r="O2553" s="1475"/>
    </row>
    <row r="2554" spans="11:15">
      <c r="K2554" s="1472">
        <v>44611</v>
      </c>
      <c r="L2554" s="1473"/>
      <c r="M2554" s="1474">
        <v>0</v>
      </c>
      <c r="N2554" s="1475">
        <v>1.7100733955108356</v>
      </c>
      <c r="O2554" s="1475"/>
    </row>
    <row r="2555" spans="11:15">
      <c r="K2555" s="1472">
        <v>44612</v>
      </c>
      <c r="L2555" s="1473"/>
      <c r="M2555" s="1474">
        <v>0</v>
      </c>
      <c r="N2555" s="1475">
        <v>1.7100733955108356</v>
      </c>
      <c r="O2555" s="1475"/>
    </row>
    <row r="2556" spans="11:15">
      <c r="K2556" s="1472">
        <v>44613</v>
      </c>
      <c r="L2556" s="1473" t="s">
        <v>2127</v>
      </c>
      <c r="M2556" s="1474">
        <v>4.0168000000000002E-2</v>
      </c>
      <c r="N2556" s="1475">
        <v>1.7107602977923444</v>
      </c>
      <c r="O2556" s="1475"/>
    </row>
    <row r="2557" spans="11:15">
      <c r="K2557" s="1472">
        <v>44614</v>
      </c>
      <c r="L2557" s="1473" t="s">
        <v>2127</v>
      </c>
      <c r="M2557" s="1474">
        <v>4.0168000000000002E-2</v>
      </c>
      <c r="N2557" s="1475">
        <v>1.7114474759887615</v>
      </c>
      <c r="O2557" s="1475"/>
    </row>
    <row r="2558" spans="11:15">
      <c r="K2558" s="1472">
        <v>44615</v>
      </c>
      <c r="L2558" s="1473" t="s">
        <v>2127</v>
      </c>
      <c r="M2558" s="1474">
        <v>4.0168000000000002E-2</v>
      </c>
      <c r="N2558" s="1475">
        <v>1.7121349302109166</v>
      </c>
      <c r="O2558" s="1475"/>
    </row>
    <row r="2559" spans="11:15">
      <c r="K2559" s="1472">
        <v>44616</v>
      </c>
      <c r="L2559" s="1473" t="s">
        <v>2127</v>
      </c>
      <c r="M2559" s="1474">
        <v>4.0168000000000002E-2</v>
      </c>
      <c r="N2559" s="1475">
        <v>1.7128226605696837</v>
      </c>
      <c r="O2559" s="1475"/>
    </row>
    <row r="2560" spans="11:15">
      <c r="K2560" s="1472">
        <v>44617</v>
      </c>
      <c r="L2560" s="1473" t="s">
        <v>2127</v>
      </c>
      <c r="M2560" s="1474">
        <v>4.0168000000000002E-2</v>
      </c>
      <c r="N2560" s="1475">
        <v>1.7135106671759812</v>
      </c>
      <c r="O2560" s="1475"/>
    </row>
    <row r="2561" spans="11:15">
      <c r="K2561" s="1472">
        <v>44618</v>
      </c>
      <c r="L2561" s="1473"/>
      <c r="M2561" s="1474">
        <v>0</v>
      </c>
      <c r="N2561" s="1475">
        <v>1.7135106671759812</v>
      </c>
      <c r="O2561" s="1475"/>
    </row>
    <row r="2562" spans="11:15">
      <c r="K2562" s="1472">
        <v>44619</v>
      </c>
      <c r="L2562" s="1473"/>
      <c r="M2562" s="1474">
        <v>0</v>
      </c>
      <c r="N2562" s="1475">
        <v>1.7135106671759812</v>
      </c>
      <c r="O2562" s="1475"/>
    </row>
    <row r="2563" spans="11:15">
      <c r="K2563" s="1472">
        <v>44620</v>
      </c>
      <c r="L2563" s="1473"/>
      <c r="M2563" s="1474">
        <v>0</v>
      </c>
      <c r="N2563" s="1475">
        <v>1.7135106671759812</v>
      </c>
      <c r="O2563" s="1475"/>
    </row>
    <row r="2564" spans="11:15">
      <c r="K2564" s="1472">
        <v>44621</v>
      </c>
      <c r="L2564" s="1473"/>
      <c r="M2564" s="1474">
        <v>0</v>
      </c>
      <c r="N2564" s="1475">
        <v>1.7135106671759812</v>
      </c>
      <c r="O2564" s="1475"/>
    </row>
    <row r="2565" spans="11:15">
      <c r="K2565" s="1472">
        <v>44622</v>
      </c>
      <c r="L2565" s="1473" t="s">
        <v>2127</v>
      </c>
      <c r="M2565" s="1474">
        <v>4.0168000000000002E-2</v>
      </c>
      <c r="N2565" s="1475">
        <v>1.7141989501407724</v>
      </c>
      <c r="O2565" s="1475"/>
    </row>
    <row r="2566" spans="11:15">
      <c r="K2566" s="1472">
        <v>44623</v>
      </c>
      <c r="L2566" s="1473" t="s">
        <v>2127</v>
      </c>
      <c r="M2566" s="1474">
        <v>4.0168000000000002E-2</v>
      </c>
      <c r="N2566" s="1475">
        <v>1.7148875095750649</v>
      </c>
      <c r="O2566" s="1475"/>
    </row>
    <row r="2567" spans="11:15">
      <c r="K2567" s="1472">
        <v>44624</v>
      </c>
      <c r="L2567" s="1473" t="s">
        <v>2127</v>
      </c>
      <c r="M2567" s="1474">
        <v>4.0168000000000002E-2</v>
      </c>
      <c r="N2567" s="1475">
        <v>1.7155763455899109</v>
      </c>
      <c r="O2567" s="1475"/>
    </row>
    <row r="2568" spans="11:15">
      <c r="K2568" s="1472">
        <v>44625</v>
      </c>
      <c r="L2568" s="1473"/>
      <c r="M2568" s="1474">
        <v>0</v>
      </c>
      <c r="N2568" s="1475">
        <v>1.7155763455899109</v>
      </c>
      <c r="O2568" s="1475"/>
    </row>
    <row r="2569" spans="11:15">
      <c r="K2569" s="1472">
        <v>44626</v>
      </c>
      <c r="L2569" s="1473"/>
      <c r="M2569" s="1474">
        <v>0</v>
      </c>
      <c r="N2569" s="1475">
        <v>1.7155763455899109</v>
      </c>
      <c r="O2569" s="1475"/>
    </row>
    <row r="2570" spans="11:15">
      <c r="K2570" s="1472">
        <v>44627</v>
      </c>
      <c r="L2570" s="1473" t="s">
        <v>2127</v>
      </c>
      <c r="M2570" s="1474">
        <v>4.0168000000000002E-2</v>
      </c>
      <c r="N2570" s="1475">
        <v>1.7162654582964074</v>
      </c>
      <c r="O2570" s="1475"/>
    </row>
    <row r="2571" spans="11:15">
      <c r="K2571" s="1472">
        <v>44628</v>
      </c>
      <c r="L2571" s="1473" t="s">
        <v>2127</v>
      </c>
      <c r="M2571" s="1474">
        <v>4.0168000000000002E-2</v>
      </c>
      <c r="N2571" s="1475">
        <v>1.716954847805696</v>
      </c>
      <c r="O2571" s="1475"/>
    </row>
    <row r="2572" spans="11:15">
      <c r="K2572" s="1472">
        <v>44629</v>
      </c>
      <c r="L2572" s="1473" t="s">
        <v>2127</v>
      </c>
      <c r="M2572" s="1474">
        <v>4.0168000000000002E-2</v>
      </c>
      <c r="N2572" s="1475">
        <v>1.7176445142289625</v>
      </c>
      <c r="O2572" s="1475"/>
    </row>
    <row r="2573" spans="11:15">
      <c r="K2573" s="1472">
        <v>44630</v>
      </c>
      <c r="L2573" s="1473" t="s">
        <v>2127</v>
      </c>
      <c r="M2573" s="1474">
        <v>4.0168000000000002E-2</v>
      </c>
      <c r="N2573" s="1475">
        <v>1.718334457677438</v>
      </c>
      <c r="O2573" s="1475"/>
    </row>
    <row r="2574" spans="11:15">
      <c r="K2574" s="1472">
        <v>44631</v>
      </c>
      <c r="L2574" s="1473" t="s">
        <v>2127</v>
      </c>
      <c r="M2574" s="1474">
        <v>4.0168000000000002E-2</v>
      </c>
      <c r="N2574" s="1475">
        <v>1.7190246782623977</v>
      </c>
      <c r="O2574" s="1475"/>
    </row>
    <row r="2575" spans="11:15">
      <c r="K2575" s="1472">
        <v>44632</v>
      </c>
      <c r="L2575" s="1473"/>
      <c r="M2575" s="1474">
        <v>0</v>
      </c>
      <c r="N2575" s="1475">
        <v>1.7190246782623977</v>
      </c>
      <c r="O2575" s="1475"/>
    </row>
    <row r="2576" spans="11:15">
      <c r="K2576" s="1472">
        <v>44633</v>
      </c>
      <c r="L2576" s="1473"/>
      <c r="M2576" s="1474">
        <v>0</v>
      </c>
      <c r="N2576" s="1475">
        <v>1.7190246782623977</v>
      </c>
      <c r="O2576" s="1475"/>
    </row>
    <row r="2577" spans="11:15">
      <c r="K2577" s="1472">
        <v>44634</v>
      </c>
      <c r="L2577" s="1473" t="s">
        <v>2127</v>
      </c>
      <c r="M2577" s="1474">
        <v>4.0168000000000002E-2</v>
      </c>
      <c r="N2577" s="1475">
        <v>1.7197151760951621</v>
      </c>
      <c r="O2577" s="1475"/>
    </row>
    <row r="2578" spans="11:15">
      <c r="K2578" s="1472">
        <v>44635</v>
      </c>
      <c r="L2578" s="1473" t="s">
        <v>2127</v>
      </c>
      <c r="M2578" s="1474">
        <v>4.0168000000000002E-2</v>
      </c>
      <c r="N2578" s="1475">
        <v>1.7204059512870959</v>
      </c>
      <c r="O2578" s="1475"/>
    </row>
    <row r="2579" spans="11:15">
      <c r="K2579" s="1472">
        <v>44636</v>
      </c>
      <c r="L2579" s="1473" t="s">
        <v>2127</v>
      </c>
      <c r="M2579" s="1474">
        <v>4.0168000000000002E-2</v>
      </c>
      <c r="N2579" s="1475">
        <v>1.721097003949609</v>
      </c>
      <c r="O2579" s="1475"/>
    </row>
    <row r="2580" spans="11:15">
      <c r="K2580" s="1472">
        <v>44637</v>
      </c>
      <c r="L2580" s="1473" t="s">
        <v>2127</v>
      </c>
      <c r="M2580" s="1474">
        <v>4.3739E-2</v>
      </c>
      <c r="N2580" s="1475">
        <v>1.7218497945681666</v>
      </c>
      <c r="O2580" s="1475"/>
    </row>
    <row r="2581" spans="11:15">
      <c r="K2581" s="1472">
        <v>44638</v>
      </c>
      <c r="L2581" s="1473" t="s">
        <v>2127</v>
      </c>
      <c r="M2581" s="1474">
        <v>4.3739E-2</v>
      </c>
      <c r="N2581" s="1475">
        <v>1.7226029144498129</v>
      </c>
      <c r="O2581" s="1475"/>
    </row>
    <row r="2582" spans="11:15">
      <c r="K2582" s="1472">
        <v>44639</v>
      </c>
      <c r="L2582" s="1473"/>
      <c r="M2582" s="1474">
        <v>0</v>
      </c>
      <c r="N2582" s="1475">
        <v>1.7226029144498129</v>
      </c>
      <c r="O2582" s="1475"/>
    </row>
    <row r="2583" spans="11:15">
      <c r="K2583" s="1472">
        <v>44640</v>
      </c>
      <c r="L2583" s="1473"/>
      <c r="M2583" s="1474">
        <v>0</v>
      </c>
      <c r="N2583" s="1475">
        <v>1.7226029144498129</v>
      </c>
      <c r="O2583" s="1475"/>
    </row>
    <row r="2584" spans="11:15">
      <c r="K2584" s="1472">
        <v>44641</v>
      </c>
      <c r="L2584" s="1473" t="s">
        <v>2127</v>
      </c>
      <c r="M2584" s="1474">
        <v>4.3739E-2</v>
      </c>
      <c r="N2584" s="1475">
        <v>1.7233563637385643</v>
      </c>
      <c r="O2584" s="1475"/>
    </row>
    <row r="2585" spans="11:15">
      <c r="K2585" s="1472">
        <v>44642</v>
      </c>
      <c r="L2585" s="1473" t="s">
        <v>2127</v>
      </c>
      <c r="M2585" s="1474">
        <v>4.3739E-2</v>
      </c>
      <c r="N2585" s="1475">
        <v>1.7241101425785001</v>
      </c>
      <c r="O2585" s="1475"/>
    </row>
    <row r="2586" spans="11:15">
      <c r="K2586" s="1472">
        <v>44643</v>
      </c>
      <c r="L2586" s="1473" t="s">
        <v>2127</v>
      </c>
      <c r="M2586" s="1474">
        <v>4.3739E-2</v>
      </c>
      <c r="N2586" s="1475">
        <v>1.7248642511137626</v>
      </c>
      <c r="O2586" s="1475"/>
    </row>
    <row r="2587" spans="11:15">
      <c r="K2587" s="1472">
        <v>44644</v>
      </c>
      <c r="L2587" s="1473" t="s">
        <v>2127</v>
      </c>
      <c r="M2587" s="1474">
        <v>4.3739E-2</v>
      </c>
      <c r="N2587" s="1475">
        <v>1.7256186894885575</v>
      </c>
      <c r="O2587" s="1475"/>
    </row>
    <row r="2588" spans="11:15">
      <c r="K2588" s="1472">
        <v>44645</v>
      </c>
      <c r="L2588" s="1473" t="s">
        <v>2127</v>
      </c>
      <c r="M2588" s="1474">
        <v>4.3739E-2</v>
      </c>
      <c r="N2588" s="1475">
        <v>1.726373457847153</v>
      </c>
      <c r="O2588" s="1475"/>
    </row>
    <row r="2589" spans="11:15">
      <c r="K2589" s="1472">
        <v>44646</v>
      </c>
      <c r="L2589" s="1473"/>
      <c r="M2589" s="1474">
        <v>0</v>
      </c>
      <c r="N2589" s="1475">
        <v>1.726373457847153</v>
      </c>
      <c r="O2589" s="1475"/>
    </row>
    <row r="2590" spans="11:15">
      <c r="K2590" s="1472">
        <v>44647</v>
      </c>
      <c r="L2590" s="1473"/>
      <c r="M2590" s="1474">
        <v>0</v>
      </c>
      <c r="N2590" s="1475">
        <v>1.726373457847153</v>
      </c>
      <c r="O2590" s="1475"/>
    </row>
    <row r="2591" spans="11:15">
      <c r="K2591" s="1472">
        <v>44648</v>
      </c>
      <c r="L2591" s="1473" t="s">
        <v>2127</v>
      </c>
      <c r="M2591" s="1474">
        <v>4.3739E-2</v>
      </c>
      <c r="N2591" s="1475">
        <v>1.727128556333881</v>
      </c>
      <c r="O2591" s="1475"/>
    </row>
    <row r="2592" spans="11:15">
      <c r="K2592" s="1472">
        <v>44649</v>
      </c>
      <c r="L2592" s="1473" t="s">
        <v>2127</v>
      </c>
      <c r="M2592" s="1474">
        <v>4.3739E-2</v>
      </c>
      <c r="N2592" s="1475">
        <v>1.727883985093136</v>
      </c>
      <c r="O2592" s="1475"/>
    </row>
    <row r="2593" spans="11:15">
      <c r="K2593" s="1472">
        <v>44650</v>
      </c>
      <c r="L2593" s="1473" t="s">
        <v>2127</v>
      </c>
      <c r="M2593" s="1474">
        <v>4.3739E-2</v>
      </c>
      <c r="N2593" s="1475">
        <v>1.7286397442693762</v>
      </c>
      <c r="O2593" s="1475"/>
    </row>
    <row r="2594" spans="11:15">
      <c r="K2594" s="1472">
        <v>44651</v>
      </c>
      <c r="L2594" s="1473" t="s">
        <v>2127</v>
      </c>
      <c r="M2594" s="1474">
        <v>4.3739E-2</v>
      </c>
      <c r="N2594" s="1475">
        <v>1.7293958340071223</v>
      </c>
      <c r="O2594" s="1475"/>
    </row>
    <row r="2595" spans="11:15">
      <c r="K2595" s="1472">
        <v>44652</v>
      </c>
      <c r="L2595" s="1473" t="s">
        <v>2127</v>
      </c>
      <c r="M2595" s="1474">
        <v>4.3739E-2</v>
      </c>
      <c r="N2595" s="1475">
        <v>1.7301522544509589</v>
      </c>
      <c r="O2595" s="1475"/>
    </row>
    <row r="2596" spans="11:15">
      <c r="K2596" s="1472">
        <v>44653</v>
      </c>
      <c r="L2596" s="1473"/>
      <c r="M2596" s="1474">
        <v>0</v>
      </c>
      <c r="N2596" s="1475">
        <v>1.7301522544509589</v>
      </c>
      <c r="O2596" s="1475"/>
    </row>
    <row r="2597" spans="11:15">
      <c r="K2597" s="1472">
        <v>44654</v>
      </c>
      <c r="L2597" s="1473"/>
      <c r="M2597" s="1474">
        <v>0</v>
      </c>
      <c r="N2597" s="1475">
        <v>1.7301522544509589</v>
      </c>
      <c r="O2597" s="1475"/>
    </row>
    <row r="2598" spans="11:15">
      <c r="K2598" s="1472">
        <v>44655</v>
      </c>
      <c r="L2598" s="1473" t="s">
        <v>2127</v>
      </c>
      <c r="M2598" s="1474">
        <v>4.3739E-2</v>
      </c>
      <c r="N2598" s="1475">
        <v>1.7309090057455334</v>
      </c>
      <c r="O2598" s="1475"/>
    </row>
    <row r="2599" spans="11:15">
      <c r="K2599" s="1472">
        <v>44656</v>
      </c>
      <c r="L2599" s="1473" t="s">
        <v>2127</v>
      </c>
      <c r="M2599" s="1474">
        <v>4.3739E-2</v>
      </c>
      <c r="N2599" s="1475">
        <v>1.7316660880355565</v>
      </c>
      <c r="O2599" s="1475"/>
    </row>
    <row r="2600" spans="11:15">
      <c r="K2600" s="1472">
        <v>44657</v>
      </c>
      <c r="L2600" s="1473" t="s">
        <v>2127</v>
      </c>
      <c r="M2600" s="1474">
        <v>4.3739E-2</v>
      </c>
      <c r="N2600" s="1475">
        <v>1.7324235014658025</v>
      </c>
      <c r="O2600" s="1475"/>
    </row>
    <row r="2601" spans="11:15">
      <c r="K2601" s="1472">
        <v>44658</v>
      </c>
      <c r="L2601" s="1473" t="s">
        <v>2127</v>
      </c>
      <c r="M2601" s="1474">
        <v>4.3739E-2</v>
      </c>
      <c r="N2601" s="1475">
        <v>1.7331812461811087</v>
      </c>
      <c r="O2601" s="1475"/>
    </row>
    <row r="2602" spans="11:15">
      <c r="K2602" s="1472">
        <v>44659</v>
      </c>
      <c r="L2602" s="1473" t="s">
        <v>2127</v>
      </c>
      <c r="M2602" s="1474">
        <v>4.3739E-2</v>
      </c>
      <c r="N2602" s="1475">
        <v>1.7339393223263759</v>
      </c>
      <c r="O2602" s="1475"/>
    </row>
    <row r="2603" spans="11:15">
      <c r="K2603" s="1472">
        <v>44660</v>
      </c>
      <c r="L2603" s="1473"/>
      <c r="M2603" s="1474">
        <v>0</v>
      </c>
      <c r="N2603" s="1475">
        <v>1.7339393223263759</v>
      </c>
      <c r="O2603" s="1475"/>
    </row>
    <row r="2604" spans="11:15">
      <c r="K2604" s="1472">
        <v>44661</v>
      </c>
      <c r="L2604" s="1473"/>
      <c r="M2604" s="1474">
        <v>0</v>
      </c>
      <c r="N2604" s="1475">
        <v>1.7339393223263759</v>
      </c>
      <c r="O2604" s="1475"/>
    </row>
    <row r="2605" spans="11:15">
      <c r="K2605" s="1472">
        <v>44662</v>
      </c>
      <c r="L2605" s="1473" t="s">
        <v>2127</v>
      </c>
      <c r="M2605" s="1474">
        <v>4.3739E-2</v>
      </c>
      <c r="N2605" s="1475">
        <v>1.7346977300465685</v>
      </c>
      <c r="O2605" s="1475"/>
    </row>
    <row r="2606" spans="11:15">
      <c r="K2606" s="1472">
        <v>44663</v>
      </c>
      <c r="L2606" s="1473" t="s">
        <v>2127</v>
      </c>
      <c r="M2606" s="1474">
        <v>4.3739E-2</v>
      </c>
      <c r="N2606" s="1475">
        <v>1.7354564694867136</v>
      </c>
      <c r="O2606" s="1475"/>
    </row>
    <row r="2607" spans="11:15">
      <c r="K2607" s="1472">
        <v>44664</v>
      </c>
      <c r="L2607" s="1473" t="s">
        <v>2127</v>
      </c>
      <c r="M2607" s="1474">
        <v>4.3739E-2</v>
      </c>
      <c r="N2607" s="1475">
        <v>1.7362155407919027</v>
      </c>
      <c r="O2607" s="1475"/>
    </row>
    <row r="2608" spans="11:15">
      <c r="K2608" s="1472">
        <v>44665</v>
      </c>
      <c r="L2608" s="1473" t="s">
        <v>2127</v>
      </c>
      <c r="M2608" s="1474">
        <v>4.3739E-2</v>
      </c>
      <c r="N2608" s="1475">
        <v>1.7369749441072897</v>
      </c>
      <c r="O2608" s="1475"/>
    </row>
    <row r="2609" spans="11:15">
      <c r="K2609" s="1472">
        <v>44666</v>
      </c>
      <c r="L2609" s="1473"/>
      <c r="M2609" s="1474">
        <v>0</v>
      </c>
      <c r="N2609" s="1475">
        <v>1.7369749441072897</v>
      </c>
      <c r="O2609" s="1475"/>
    </row>
    <row r="2610" spans="11:15">
      <c r="K2610" s="1472">
        <v>44667</v>
      </c>
      <c r="L2610" s="1473"/>
      <c r="M2610" s="1474">
        <v>0</v>
      </c>
      <c r="N2610" s="1475">
        <v>1.7369749441072897</v>
      </c>
      <c r="O2610" s="1475"/>
    </row>
    <row r="2611" spans="11:15">
      <c r="K2611" s="1472">
        <v>44668</v>
      </c>
      <c r="L2611" s="1473"/>
      <c r="M2611" s="1474">
        <v>0</v>
      </c>
      <c r="N2611" s="1475">
        <v>1.7369749441072897</v>
      </c>
      <c r="O2611" s="1475"/>
    </row>
    <row r="2612" spans="11:15">
      <c r="K2612" s="1472">
        <v>44669</v>
      </c>
      <c r="L2612" s="1473" t="s">
        <v>2127</v>
      </c>
      <c r="M2612" s="1474">
        <v>4.3739E-2</v>
      </c>
      <c r="N2612" s="1475">
        <v>1.737734679578093</v>
      </c>
      <c r="O2612" s="1475"/>
    </row>
    <row r="2613" spans="11:15">
      <c r="K2613" s="1472">
        <v>44670</v>
      </c>
      <c r="L2613" s="1473" t="s">
        <v>2127</v>
      </c>
      <c r="M2613" s="1474">
        <v>4.3739E-2</v>
      </c>
      <c r="N2613" s="1475">
        <v>1.7384947473495937</v>
      </c>
      <c r="O2613" s="1475"/>
    </row>
    <row r="2614" spans="11:15">
      <c r="K2614" s="1472">
        <v>44671</v>
      </c>
      <c r="L2614" s="1473" t="s">
        <v>2127</v>
      </c>
      <c r="M2614" s="1474">
        <v>4.3739E-2</v>
      </c>
      <c r="N2614" s="1475">
        <v>1.7392551475671372</v>
      </c>
      <c r="O2614" s="1475"/>
    </row>
    <row r="2615" spans="11:15">
      <c r="K2615" s="1472">
        <v>44672</v>
      </c>
      <c r="L2615" s="1473"/>
      <c r="M2615" s="1474">
        <v>0</v>
      </c>
      <c r="N2615" s="1475">
        <v>1.7392551475671372</v>
      </c>
      <c r="O2615" s="1475"/>
    </row>
    <row r="2616" spans="11:15">
      <c r="K2616" s="1472">
        <v>44673</v>
      </c>
      <c r="L2616" s="1473" t="s">
        <v>2127</v>
      </c>
      <c r="M2616" s="1474">
        <v>4.3739E-2</v>
      </c>
      <c r="N2616" s="1475">
        <v>1.7400158803761316</v>
      </c>
      <c r="O2616" s="1475"/>
    </row>
    <row r="2617" spans="11:15">
      <c r="K2617" s="1472">
        <v>44674</v>
      </c>
      <c r="L2617" s="1473"/>
      <c r="M2617" s="1474">
        <v>0</v>
      </c>
      <c r="N2617" s="1475">
        <v>1.7400158803761316</v>
      </c>
      <c r="O2617" s="1475"/>
    </row>
    <row r="2618" spans="11:15">
      <c r="K2618" s="1472">
        <v>44675</v>
      </c>
      <c r="L2618" s="1473"/>
      <c r="M2618" s="1474">
        <v>0</v>
      </c>
      <c r="N2618" s="1475">
        <v>1.7400158803761316</v>
      </c>
      <c r="O2618" s="1475"/>
    </row>
    <row r="2619" spans="11:15">
      <c r="K2619" s="1472">
        <v>44676</v>
      </c>
      <c r="L2619" s="1473" t="s">
        <v>2127</v>
      </c>
      <c r="M2619" s="1474">
        <v>4.3739E-2</v>
      </c>
      <c r="N2619" s="1475">
        <v>1.7407769459220495</v>
      </c>
      <c r="O2619" s="1475"/>
    </row>
    <row r="2620" spans="11:15">
      <c r="K2620" s="1472">
        <v>44677</v>
      </c>
      <c r="L2620" s="1473" t="s">
        <v>2127</v>
      </c>
      <c r="M2620" s="1474">
        <v>4.3739E-2</v>
      </c>
      <c r="N2620" s="1475">
        <v>1.7415383443504264</v>
      </c>
      <c r="O2620" s="1475"/>
    </row>
    <row r="2621" spans="11:15">
      <c r="K2621" s="1472">
        <v>44678</v>
      </c>
      <c r="L2621" s="1473" t="s">
        <v>2127</v>
      </c>
      <c r="M2621" s="1474">
        <v>4.3739E-2</v>
      </c>
      <c r="N2621" s="1475">
        <v>1.7423000758068621</v>
      </c>
      <c r="O2621" s="1475"/>
    </row>
    <row r="2622" spans="11:15">
      <c r="K2622" s="1472">
        <v>44679</v>
      </c>
      <c r="L2622" s="1473" t="s">
        <v>2127</v>
      </c>
      <c r="M2622" s="1474">
        <v>4.3739E-2</v>
      </c>
      <c r="N2622" s="1475">
        <v>1.7430621404370195</v>
      </c>
      <c r="O2622" s="1475"/>
    </row>
    <row r="2623" spans="11:15">
      <c r="K2623" s="1472">
        <v>44680</v>
      </c>
      <c r="L2623" s="1473" t="s">
        <v>2127</v>
      </c>
      <c r="M2623" s="1474">
        <v>4.3739E-2</v>
      </c>
      <c r="N2623" s="1475">
        <v>1.7438245383866253</v>
      </c>
      <c r="O2623" s="1475"/>
    </row>
    <row r="2624" spans="11:15">
      <c r="K2624" s="1472">
        <v>44681</v>
      </c>
      <c r="L2624" s="1473"/>
      <c r="M2624" s="1474">
        <v>0</v>
      </c>
      <c r="N2624" s="1475">
        <v>1.7438245383866253</v>
      </c>
      <c r="O2624" s="1475"/>
    </row>
    <row r="2625" spans="11:15">
      <c r="K2625" s="1472">
        <v>44682</v>
      </c>
      <c r="L2625" s="1473"/>
      <c r="M2625" s="1474">
        <v>0</v>
      </c>
      <c r="N2625" s="1475">
        <v>1.7438245383866253</v>
      </c>
      <c r="O2625" s="1475"/>
    </row>
    <row r="2626" spans="11:15">
      <c r="K2626" s="1472">
        <v>44683</v>
      </c>
      <c r="L2626" s="1473" t="s">
        <v>2127</v>
      </c>
      <c r="M2626" s="1474">
        <v>4.3739E-2</v>
      </c>
      <c r="N2626" s="1475">
        <v>1.7445872698014704</v>
      </c>
      <c r="O2626" s="1475"/>
    </row>
    <row r="2627" spans="11:15">
      <c r="K2627" s="1472">
        <v>44684</v>
      </c>
      <c r="L2627" s="1473" t="s">
        <v>2127</v>
      </c>
      <c r="M2627" s="1474">
        <v>4.3739E-2</v>
      </c>
      <c r="N2627" s="1475">
        <v>1.7453503348274091</v>
      </c>
      <c r="O2627" s="1475"/>
    </row>
    <row r="2628" spans="11:15">
      <c r="K2628" s="1472">
        <v>44685</v>
      </c>
      <c r="L2628" s="1473" t="s">
        <v>2127</v>
      </c>
      <c r="M2628" s="1474">
        <v>4.3739E-2</v>
      </c>
      <c r="N2628" s="1475">
        <v>1.7461137336103594</v>
      </c>
      <c r="O2628" s="1475"/>
    </row>
    <row r="2629" spans="11:15">
      <c r="K2629" s="1472">
        <v>44686</v>
      </c>
      <c r="L2629" s="1473" t="s">
        <v>2127</v>
      </c>
      <c r="M2629" s="1474">
        <v>4.7279000000000002E-2</v>
      </c>
      <c r="N2629" s="1475">
        <v>1.7469392787224729</v>
      </c>
      <c r="O2629" s="1475"/>
    </row>
    <row r="2630" spans="11:15">
      <c r="K2630" s="1472">
        <v>44687</v>
      </c>
      <c r="L2630" s="1473" t="s">
        <v>2127</v>
      </c>
      <c r="M2630" s="1474">
        <v>4.7279000000000002E-2</v>
      </c>
      <c r="N2630" s="1475">
        <v>1.7477652141440598</v>
      </c>
      <c r="O2630" s="1475"/>
    </row>
    <row r="2631" spans="11:15">
      <c r="K2631" s="1472">
        <v>44688</v>
      </c>
      <c r="L2631" s="1473"/>
      <c r="M2631" s="1474">
        <v>0</v>
      </c>
      <c r="N2631" s="1475">
        <v>1.7477652141440598</v>
      </c>
      <c r="O2631" s="1475"/>
    </row>
    <row r="2632" spans="11:15">
      <c r="K2632" s="1472">
        <v>44689</v>
      </c>
      <c r="L2632" s="1473"/>
      <c r="M2632" s="1474">
        <v>0</v>
      </c>
      <c r="N2632" s="1475">
        <v>1.7477652141440598</v>
      </c>
      <c r="O2632" s="1475"/>
    </row>
    <row r="2633" spans="11:15">
      <c r="K2633" s="1472">
        <v>44690</v>
      </c>
      <c r="L2633" s="1473" t="s">
        <v>2127</v>
      </c>
      <c r="M2633" s="1474">
        <v>4.7279000000000002E-2</v>
      </c>
      <c r="N2633" s="1475">
        <v>1.7485915400596548</v>
      </c>
      <c r="O2633" s="1475"/>
    </row>
    <row r="2634" spans="11:15">
      <c r="K2634" s="1472">
        <v>44691</v>
      </c>
      <c r="L2634" s="1473" t="s">
        <v>2127</v>
      </c>
      <c r="M2634" s="1474">
        <v>4.7279000000000002E-2</v>
      </c>
      <c r="N2634" s="1475">
        <v>1.7494182566538794</v>
      </c>
      <c r="O2634" s="1475"/>
    </row>
    <row r="2635" spans="11:15">
      <c r="K2635" s="1472">
        <v>44692</v>
      </c>
      <c r="L2635" s="1473" t="s">
        <v>2127</v>
      </c>
      <c r="M2635" s="1474">
        <v>4.7279000000000002E-2</v>
      </c>
      <c r="N2635" s="1475">
        <v>1.7502453641114426</v>
      </c>
      <c r="O2635" s="1475"/>
    </row>
    <row r="2636" spans="11:15">
      <c r="K2636" s="1472">
        <v>44693</v>
      </c>
      <c r="L2636" s="1473" t="s">
        <v>2127</v>
      </c>
      <c r="M2636" s="1474">
        <v>4.7279000000000002E-2</v>
      </c>
      <c r="N2636" s="1475">
        <v>1.7510728626171406</v>
      </c>
      <c r="O2636" s="1475"/>
    </row>
    <row r="2637" spans="11:15">
      <c r="K2637" s="1472">
        <v>44694</v>
      </c>
      <c r="L2637" s="1473" t="s">
        <v>2127</v>
      </c>
      <c r="M2637" s="1474">
        <v>4.7279000000000002E-2</v>
      </c>
      <c r="N2637" s="1475">
        <v>1.7519007523558572</v>
      </c>
      <c r="O2637" s="1475"/>
    </row>
    <row r="2638" spans="11:15">
      <c r="K2638" s="1472">
        <v>44695</v>
      </c>
      <c r="L2638" s="1473"/>
      <c r="M2638" s="1474">
        <v>0</v>
      </c>
      <c r="N2638" s="1475">
        <v>1.7519007523558572</v>
      </c>
      <c r="O2638" s="1475"/>
    </row>
    <row r="2639" spans="11:15">
      <c r="K2639" s="1472">
        <v>44696</v>
      </c>
      <c r="L2639" s="1473"/>
      <c r="M2639" s="1474">
        <v>0</v>
      </c>
      <c r="N2639" s="1475">
        <v>1.7519007523558572</v>
      </c>
      <c r="O2639" s="1475"/>
    </row>
    <row r="2640" spans="11:15">
      <c r="K2640" s="1472">
        <v>44697</v>
      </c>
      <c r="L2640" s="1473" t="s">
        <v>2127</v>
      </c>
      <c r="M2640" s="1474">
        <v>4.7279000000000002E-2</v>
      </c>
      <c r="N2640" s="1475">
        <v>1.7527290335125634</v>
      </c>
      <c r="O2640" s="1475"/>
    </row>
    <row r="2641" spans="11:15">
      <c r="K2641" s="1472">
        <v>44698</v>
      </c>
      <c r="L2641" s="1473" t="s">
        <v>2127</v>
      </c>
      <c r="M2641" s="1474">
        <v>4.7279000000000002E-2</v>
      </c>
      <c r="N2641" s="1475">
        <v>1.7535577062723176</v>
      </c>
      <c r="O2641" s="1475"/>
    </row>
    <row r="2642" spans="11:15">
      <c r="K2642" s="1472">
        <v>44699</v>
      </c>
      <c r="L2642" s="1473" t="s">
        <v>2127</v>
      </c>
      <c r="M2642" s="1474">
        <v>4.7279000000000002E-2</v>
      </c>
      <c r="N2642" s="1475">
        <v>1.7543867708202658</v>
      </c>
      <c r="O2642" s="1475"/>
    </row>
    <row r="2643" spans="11:15">
      <c r="K2643" s="1472">
        <v>44700</v>
      </c>
      <c r="L2643" s="1473" t="s">
        <v>2127</v>
      </c>
      <c r="M2643" s="1474">
        <v>4.7279000000000002E-2</v>
      </c>
      <c r="N2643" s="1475">
        <v>1.7552162273416418</v>
      </c>
      <c r="O2643" s="1475"/>
    </row>
    <row r="2644" spans="11:15">
      <c r="K2644" s="1472">
        <v>44701</v>
      </c>
      <c r="L2644" s="1473" t="s">
        <v>2127</v>
      </c>
      <c r="M2644" s="1474">
        <v>4.7279000000000002E-2</v>
      </c>
      <c r="N2644" s="1475">
        <v>1.7560460760217664</v>
      </c>
      <c r="O2644" s="1475"/>
    </row>
    <row r="2645" spans="11:15">
      <c r="K2645" s="1472">
        <v>44702</v>
      </c>
      <c r="L2645" s="1473"/>
      <c r="M2645" s="1474">
        <v>0</v>
      </c>
      <c r="N2645" s="1475">
        <v>1.7560460760217664</v>
      </c>
      <c r="O2645" s="1475"/>
    </row>
    <row r="2646" spans="11:15">
      <c r="K2646" s="1472">
        <v>44703</v>
      </c>
      <c r="L2646" s="1473"/>
      <c r="M2646" s="1474">
        <v>0</v>
      </c>
      <c r="N2646" s="1475">
        <v>1.7560460760217664</v>
      </c>
      <c r="O2646" s="1475"/>
    </row>
    <row r="2647" spans="11:15">
      <c r="K2647" s="1472">
        <v>44704</v>
      </c>
      <c r="L2647" s="1473" t="s">
        <v>2127</v>
      </c>
      <c r="M2647" s="1474">
        <v>4.7279000000000002E-2</v>
      </c>
      <c r="N2647" s="1475">
        <v>1.7568763170460486</v>
      </c>
      <c r="O2647" s="1475"/>
    </row>
    <row r="2648" spans="11:15">
      <c r="K2648" s="1472">
        <v>44705</v>
      </c>
      <c r="L2648" s="1473" t="s">
        <v>2127</v>
      </c>
      <c r="M2648" s="1474">
        <v>4.7279000000000002E-2</v>
      </c>
      <c r="N2648" s="1475">
        <v>1.7577069505999847</v>
      </c>
      <c r="O2648" s="1475"/>
    </row>
    <row r="2649" spans="11:15">
      <c r="K2649" s="1472">
        <v>44706</v>
      </c>
      <c r="L2649" s="1473" t="s">
        <v>2127</v>
      </c>
      <c r="M2649" s="1474">
        <v>4.7279000000000002E-2</v>
      </c>
      <c r="N2649" s="1475">
        <v>1.7585379768691587</v>
      </c>
      <c r="O2649" s="1475"/>
    </row>
    <row r="2650" spans="11:15">
      <c r="K2650" s="1472">
        <v>44707</v>
      </c>
      <c r="L2650" s="1473" t="s">
        <v>2127</v>
      </c>
      <c r="M2650" s="1474">
        <v>4.7279000000000002E-2</v>
      </c>
      <c r="N2650" s="1475">
        <v>1.7593693960392425</v>
      </c>
      <c r="O2650" s="1475"/>
    </row>
    <row r="2651" spans="11:15">
      <c r="K2651" s="1472">
        <v>44708</v>
      </c>
      <c r="L2651" s="1473" t="s">
        <v>2127</v>
      </c>
      <c r="M2651" s="1474">
        <v>4.7279000000000002E-2</v>
      </c>
      <c r="N2651" s="1475">
        <v>1.7602012082959957</v>
      </c>
      <c r="O2651" s="1475"/>
    </row>
    <row r="2652" spans="11:15">
      <c r="K2652" s="1472">
        <v>44709</v>
      </c>
      <c r="L2652" s="1473"/>
      <c r="M2652" s="1474">
        <v>0</v>
      </c>
      <c r="N2652" s="1475">
        <v>1.7602012082959957</v>
      </c>
      <c r="O2652" s="1475"/>
    </row>
    <row r="2653" spans="11:15">
      <c r="K2653" s="1472">
        <v>44710</v>
      </c>
      <c r="L2653" s="1473"/>
      <c r="M2653" s="1474">
        <v>0</v>
      </c>
      <c r="N2653" s="1475">
        <v>1.7602012082959957</v>
      </c>
      <c r="O2653" s="1475"/>
    </row>
    <row r="2654" spans="11:15">
      <c r="K2654" s="1472">
        <v>44711</v>
      </c>
      <c r="L2654" s="1473" t="s">
        <v>2127</v>
      </c>
      <c r="M2654" s="1474">
        <v>4.7279000000000002E-2</v>
      </c>
      <c r="N2654" s="1475">
        <v>1.7610334138252657</v>
      </c>
      <c r="O2654" s="1475"/>
    </row>
    <row r="2655" spans="11:15">
      <c r="K2655" s="1472">
        <v>44712</v>
      </c>
      <c r="L2655" s="1473" t="s">
        <v>2127</v>
      </c>
      <c r="M2655" s="1474">
        <v>4.7279000000000002E-2</v>
      </c>
      <c r="N2655" s="1475">
        <v>1.7618660128129879</v>
      </c>
      <c r="O2655" s="1475"/>
    </row>
    <row r="2656" spans="11:15">
      <c r="K2656" s="1472">
        <v>44713</v>
      </c>
      <c r="L2656" s="1473" t="s">
        <v>2127</v>
      </c>
      <c r="M2656" s="1474">
        <v>4.7279000000000002E-2</v>
      </c>
      <c r="N2656" s="1475">
        <v>1.7626990054451857</v>
      </c>
      <c r="O2656" s="1475"/>
    </row>
    <row r="2657" spans="11:15">
      <c r="K2657" s="1472">
        <v>44714</v>
      </c>
      <c r="L2657" s="1473" t="s">
        <v>2127</v>
      </c>
      <c r="M2657" s="1474">
        <v>4.7279000000000002E-2</v>
      </c>
      <c r="N2657" s="1475">
        <v>1.76353239190797</v>
      </c>
      <c r="O2657" s="1475"/>
    </row>
    <row r="2658" spans="11:15">
      <c r="K2658" s="1472">
        <v>44715</v>
      </c>
      <c r="L2658" s="1473" t="s">
        <v>2127</v>
      </c>
      <c r="M2658" s="1474">
        <v>4.7279000000000002E-2</v>
      </c>
      <c r="N2658" s="1475">
        <v>1.7643661723875399</v>
      </c>
      <c r="O2658" s="1475"/>
    </row>
    <row r="2659" spans="11:15">
      <c r="K2659" s="1472">
        <v>44716</v>
      </c>
      <c r="L2659" s="1473"/>
      <c r="M2659" s="1474">
        <v>0</v>
      </c>
      <c r="N2659" s="1475">
        <v>1.7643661723875399</v>
      </c>
      <c r="O2659" s="1475"/>
    </row>
    <row r="2660" spans="11:15">
      <c r="K2660" s="1472">
        <v>44717</v>
      </c>
      <c r="L2660" s="1473"/>
      <c r="M2660" s="1474">
        <v>0</v>
      </c>
      <c r="N2660" s="1475">
        <v>1.7643661723875399</v>
      </c>
      <c r="O2660" s="1475"/>
    </row>
    <row r="2661" spans="11:15">
      <c r="K2661" s="1472">
        <v>44718</v>
      </c>
      <c r="L2661" s="1473" t="s">
        <v>2127</v>
      </c>
      <c r="M2661" s="1474">
        <v>4.7279000000000002E-2</v>
      </c>
      <c r="N2661" s="1475">
        <v>1.7652003470701829</v>
      </c>
      <c r="O2661" s="1475"/>
    </row>
    <row r="2662" spans="11:15">
      <c r="K2662" s="1472">
        <v>44719</v>
      </c>
      <c r="L2662" s="1473" t="s">
        <v>2127</v>
      </c>
      <c r="M2662" s="1474">
        <v>4.7279000000000002E-2</v>
      </c>
      <c r="N2662" s="1475">
        <v>1.7660349161422739</v>
      </c>
      <c r="O2662" s="1475"/>
    </row>
    <row r="2663" spans="11:15">
      <c r="K2663" s="1472">
        <v>44720</v>
      </c>
      <c r="L2663" s="1473" t="s">
        <v>2127</v>
      </c>
      <c r="M2663" s="1474">
        <v>4.7279000000000002E-2</v>
      </c>
      <c r="N2663" s="1475">
        <v>1.7668698797902767</v>
      </c>
      <c r="O2663" s="1475"/>
    </row>
    <row r="2664" spans="11:15">
      <c r="K2664" s="1472">
        <v>44721</v>
      </c>
      <c r="L2664" s="1473" t="s">
        <v>2127</v>
      </c>
      <c r="M2664" s="1474">
        <v>4.7279000000000002E-2</v>
      </c>
      <c r="N2664" s="1475">
        <v>1.7677052382007425</v>
      </c>
      <c r="O2664" s="1475"/>
    </row>
    <row r="2665" spans="11:15">
      <c r="K2665" s="1472">
        <v>44722</v>
      </c>
      <c r="L2665" s="1473" t="s">
        <v>2127</v>
      </c>
      <c r="M2665" s="1474">
        <v>4.7279000000000002E-2</v>
      </c>
      <c r="N2665" s="1475">
        <v>1.7685409915603112</v>
      </c>
      <c r="O2665" s="1475"/>
    </row>
    <row r="2666" spans="11:15">
      <c r="K2666" s="1472">
        <v>44723</v>
      </c>
      <c r="L2666" s="1473"/>
      <c r="M2666" s="1474">
        <v>0</v>
      </c>
      <c r="N2666" s="1475">
        <v>1.7685409915603112</v>
      </c>
      <c r="O2666" s="1475"/>
    </row>
    <row r="2667" spans="11:15">
      <c r="K2667" s="1472">
        <v>44724</v>
      </c>
      <c r="L2667" s="1473"/>
      <c r="M2667" s="1474">
        <v>0</v>
      </c>
      <c r="N2667" s="1475">
        <v>1.7685409915603112</v>
      </c>
      <c r="O2667" s="1475"/>
    </row>
    <row r="2668" spans="11:15">
      <c r="K2668" s="1472">
        <v>44725</v>
      </c>
      <c r="L2668" s="1473" t="s">
        <v>2127</v>
      </c>
      <c r="M2668" s="1474">
        <v>4.7279000000000002E-2</v>
      </c>
      <c r="N2668" s="1475">
        <v>1.7693771400557108</v>
      </c>
      <c r="O2668" s="1475"/>
    </row>
    <row r="2669" spans="11:15">
      <c r="K2669" s="1472">
        <v>44726</v>
      </c>
      <c r="L2669" s="1473" t="s">
        <v>2127</v>
      </c>
      <c r="M2669" s="1474">
        <v>4.7279000000000002E-2</v>
      </c>
      <c r="N2669" s="1475">
        <v>1.7702136838737574</v>
      </c>
      <c r="O2669" s="1475"/>
    </row>
    <row r="2670" spans="11:15">
      <c r="K2670" s="1472">
        <v>44727</v>
      </c>
      <c r="L2670" s="1473" t="s">
        <v>2127</v>
      </c>
      <c r="M2670" s="1474">
        <v>4.7279000000000002E-2</v>
      </c>
      <c r="N2670" s="1475">
        <v>1.7710506232013559</v>
      </c>
      <c r="O2670" s="1475"/>
    </row>
    <row r="2671" spans="11:15">
      <c r="K2671" s="1472">
        <v>44728</v>
      </c>
      <c r="L2671" s="1473"/>
      <c r="M2671" s="1474">
        <v>0</v>
      </c>
      <c r="N2671" s="1475">
        <v>1.7710506232013559</v>
      </c>
      <c r="O2671" s="1475"/>
    </row>
    <row r="2672" spans="11:15">
      <c r="K2672" s="1472">
        <v>44729</v>
      </c>
      <c r="L2672" s="1473" t="s">
        <v>2127</v>
      </c>
      <c r="M2672" s="1474">
        <v>4.9036999999999997E-2</v>
      </c>
      <c r="N2672" s="1475">
        <v>1.7719190932954552</v>
      </c>
      <c r="O2672" s="1475"/>
    </row>
    <row r="2673" spans="11:15">
      <c r="K2673" s="1472">
        <v>44730</v>
      </c>
      <c r="L2673" s="1473"/>
      <c r="M2673" s="1474">
        <v>0</v>
      </c>
      <c r="N2673" s="1475">
        <v>1.7719190932954552</v>
      </c>
      <c r="O2673" s="1475"/>
    </row>
    <row r="2674" spans="11:15">
      <c r="K2674" s="1472">
        <v>44731</v>
      </c>
      <c r="L2674" s="1473"/>
      <c r="M2674" s="1474">
        <v>0</v>
      </c>
      <c r="N2674" s="1475">
        <v>1.7719190932954552</v>
      </c>
      <c r="O2674" s="1475"/>
    </row>
    <row r="2675" spans="11:15">
      <c r="K2675" s="1472">
        <v>44732</v>
      </c>
      <c r="L2675" s="1473" t="s">
        <v>2127</v>
      </c>
      <c r="M2675" s="1474">
        <v>4.9036999999999997E-2</v>
      </c>
      <c r="N2675" s="1475">
        <v>1.7727879892612346</v>
      </c>
      <c r="O2675" s="1475"/>
    </row>
    <row r="2676" spans="11:15">
      <c r="K2676" s="1472">
        <v>44733</v>
      </c>
      <c r="L2676" s="1473" t="s">
        <v>2127</v>
      </c>
      <c r="M2676" s="1474">
        <v>4.9036999999999997E-2</v>
      </c>
      <c r="N2676" s="1475">
        <v>1.7736573113075287</v>
      </c>
      <c r="O2676" s="1475"/>
    </row>
    <row r="2677" spans="11:15">
      <c r="K2677" s="1472">
        <v>44734</v>
      </c>
      <c r="L2677" s="1473" t="s">
        <v>2127</v>
      </c>
      <c r="M2677" s="1474">
        <v>4.9036999999999997E-2</v>
      </c>
      <c r="N2677" s="1475">
        <v>1.7745270596432747</v>
      </c>
      <c r="O2677" s="1475"/>
    </row>
    <row r="2678" spans="11:15">
      <c r="K2678" s="1472">
        <v>44735</v>
      </c>
      <c r="L2678" s="1473" t="s">
        <v>2127</v>
      </c>
      <c r="M2678" s="1474">
        <v>4.9036999999999997E-2</v>
      </c>
      <c r="N2678" s="1475">
        <v>1.7753972344775122</v>
      </c>
      <c r="O2678" s="1475"/>
    </row>
    <row r="2679" spans="11:15">
      <c r="K2679" s="1472">
        <v>44736</v>
      </c>
      <c r="L2679" s="1473" t="s">
        <v>2127</v>
      </c>
      <c r="M2679" s="1474">
        <v>4.9036999999999997E-2</v>
      </c>
      <c r="N2679" s="1475">
        <v>1.7762678360193831</v>
      </c>
      <c r="O2679" s="1475"/>
    </row>
    <row r="2680" spans="11:15">
      <c r="K2680" s="1472">
        <v>44737</v>
      </c>
      <c r="L2680" s="1473"/>
      <c r="M2680" s="1474">
        <v>0</v>
      </c>
      <c r="N2680" s="1475">
        <v>1.7762678360193831</v>
      </c>
      <c r="O2680" s="1475"/>
    </row>
    <row r="2681" spans="11:15">
      <c r="K2681" s="1472">
        <v>44738</v>
      </c>
      <c r="L2681" s="1473"/>
      <c r="M2681" s="1474">
        <v>0</v>
      </c>
      <c r="N2681" s="1475">
        <v>1.7762678360193831</v>
      </c>
      <c r="O2681" s="1475"/>
    </row>
    <row r="2682" spans="11:15">
      <c r="K2682" s="1472">
        <v>44739</v>
      </c>
      <c r="L2682" s="1473" t="s">
        <v>2127</v>
      </c>
      <c r="M2682" s="1474">
        <v>4.9036999999999997E-2</v>
      </c>
      <c r="N2682" s="1475">
        <v>1.7771388644781321</v>
      </c>
      <c r="O2682" s="1475"/>
    </row>
    <row r="2683" spans="11:15">
      <c r="K2683" s="1472">
        <v>44740</v>
      </c>
      <c r="L2683" s="1473" t="s">
        <v>2127</v>
      </c>
      <c r="M2683" s="1474">
        <v>4.9036999999999997E-2</v>
      </c>
      <c r="N2683" s="1475">
        <v>1.7780103200631063</v>
      </c>
      <c r="O2683" s="1475"/>
    </row>
    <row r="2684" spans="11:15">
      <c r="K2684" s="1472">
        <v>44741</v>
      </c>
      <c r="L2684" s="1473" t="s">
        <v>2127</v>
      </c>
      <c r="M2684" s="1474">
        <v>4.9036999999999997E-2</v>
      </c>
      <c r="N2684" s="1475">
        <v>1.7788822029837559</v>
      </c>
      <c r="O2684" s="1475"/>
    </row>
    <row r="2685" spans="11:15">
      <c r="K2685" s="1472">
        <v>44742</v>
      </c>
      <c r="L2685" s="1473" t="s">
        <v>2127</v>
      </c>
      <c r="M2685" s="1474">
        <v>4.9036999999999997E-2</v>
      </c>
      <c r="N2685" s="1475">
        <v>1.7797545134496331</v>
      </c>
      <c r="O2685" s="1475"/>
    </row>
    <row r="2686" spans="11:15">
      <c r="K2686" s="1472">
        <v>44743</v>
      </c>
      <c r="L2686" s="1473" t="s">
        <v>2127</v>
      </c>
      <c r="M2686" s="1474">
        <v>4.9036999999999997E-2</v>
      </c>
      <c r="N2686" s="1475">
        <v>1.7806272516703936</v>
      </c>
      <c r="O2686" s="1475"/>
    </row>
    <row r="2687" spans="11:15">
      <c r="K2687" s="1472">
        <v>44744</v>
      </c>
      <c r="L2687" s="1473"/>
      <c r="M2687" s="1474">
        <v>0</v>
      </c>
      <c r="N2687" s="1475">
        <v>1.7806272516703936</v>
      </c>
      <c r="O2687" s="1475"/>
    </row>
    <row r="2688" spans="11:15">
      <c r="K2688" s="1472">
        <v>44745</v>
      </c>
      <c r="L2688" s="1473"/>
      <c r="M2688" s="1474">
        <v>0</v>
      </c>
      <c r="N2688" s="1475">
        <v>1.7806272516703936</v>
      </c>
      <c r="O2688" s="1475"/>
    </row>
    <row r="2689" spans="11:15">
      <c r="K2689" s="1472">
        <v>44746</v>
      </c>
      <c r="L2689" s="1473" t="s">
        <v>2127</v>
      </c>
      <c r="M2689" s="1474">
        <v>4.9036999999999997E-2</v>
      </c>
      <c r="N2689" s="1475">
        <v>1.7815004178557954</v>
      </c>
      <c r="O2689" s="1475"/>
    </row>
    <row r="2690" spans="11:15">
      <c r="K2690" s="1472">
        <v>44747</v>
      </c>
      <c r="L2690" s="1473" t="s">
        <v>2127</v>
      </c>
      <c r="M2690" s="1474">
        <v>4.9036999999999997E-2</v>
      </c>
      <c r="N2690" s="1475">
        <v>1.7823740122156995</v>
      </c>
      <c r="O2690" s="1475"/>
    </row>
    <row r="2691" spans="11:15">
      <c r="K2691" s="1472">
        <v>44748</v>
      </c>
      <c r="L2691" s="1473" t="s">
        <v>2127</v>
      </c>
      <c r="M2691" s="1474">
        <v>4.9036999999999997E-2</v>
      </c>
      <c r="N2691" s="1475">
        <v>1.7832480349600699</v>
      </c>
      <c r="O2691" s="1475"/>
    </row>
    <row r="2692" spans="11:15">
      <c r="K2692" s="1472">
        <v>44749</v>
      </c>
      <c r="L2692" s="1473" t="s">
        <v>2127</v>
      </c>
      <c r="M2692" s="1474">
        <v>4.9036999999999997E-2</v>
      </c>
      <c r="N2692" s="1475">
        <v>1.7841224862989733</v>
      </c>
      <c r="O2692" s="1475"/>
    </row>
    <row r="2693" spans="11:15">
      <c r="K2693" s="1472">
        <v>44750</v>
      </c>
      <c r="L2693" s="1473" t="s">
        <v>2127</v>
      </c>
      <c r="M2693" s="1474">
        <v>4.9036999999999997E-2</v>
      </c>
      <c r="N2693" s="1475">
        <v>1.7849973664425798</v>
      </c>
      <c r="O2693" s="1475"/>
    </row>
    <row r="2694" spans="11:15">
      <c r="K2694" s="1472">
        <v>44751</v>
      </c>
      <c r="L2694" s="1473"/>
      <c r="M2694" s="1474">
        <v>0</v>
      </c>
      <c r="N2694" s="1475">
        <v>1.7849973664425798</v>
      </c>
      <c r="O2694" s="1475"/>
    </row>
    <row r="2695" spans="11:15">
      <c r="K2695" s="1472">
        <v>44752</v>
      </c>
      <c r="L2695" s="1473"/>
      <c r="M2695" s="1474">
        <v>0</v>
      </c>
      <c r="N2695" s="1475">
        <v>1.7849973664425798</v>
      </c>
      <c r="O2695" s="1475"/>
    </row>
    <row r="2696" spans="11:15">
      <c r="K2696" s="1472">
        <v>44753</v>
      </c>
      <c r="L2696" s="1473" t="s">
        <v>2127</v>
      </c>
      <c r="M2696" s="1474">
        <v>4.9036999999999997E-2</v>
      </c>
      <c r="N2696" s="1475">
        <v>1.7858726756011623</v>
      </c>
      <c r="O2696" s="1475"/>
    </row>
    <row r="2697" spans="11:15">
      <c r="K2697" s="1472">
        <v>44754</v>
      </c>
      <c r="L2697" s="1473" t="s">
        <v>2127</v>
      </c>
      <c r="M2697" s="1474">
        <v>4.9036999999999997E-2</v>
      </c>
      <c r="N2697" s="1475">
        <v>1.7867484139850969</v>
      </c>
      <c r="O2697" s="1475"/>
    </row>
    <row r="2698" spans="11:15">
      <c r="K2698" s="1472">
        <v>44755</v>
      </c>
      <c r="L2698" s="1473" t="s">
        <v>2127</v>
      </c>
      <c r="M2698" s="1474">
        <v>4.9036999999999997E-2</v>
      </c>
      <c r="N2698" s="1475">
        <v>1.7876245818048628</v>
      </c>
      <c r="O2698" s="1475"/>
    </row>
    <row r="2699" spans="11:15">
      <c r="K2699" s="1472">
        <v>44756</v>
      </c>
      <c r="L2699" s="1473" t="s">
        <v>2127</v>
      </c>
      <c r="M2699" s="1474">
        <v>4.9036999999999997E-2</v>
      </c>
      <c r="N2699" s="1475">
        <v>1.7885011792710426</v>
      </c>
      <c r="O2699" s="1475"/>
    </row>
    <row r="2700" spans="11:15">
      <c r="K2700" s="1472">
        <v>44757</v>
      </c>
      <c r="L2700" s="1473" t="s">
        <v>2127</v>
      </c>
      <c r="M2700" s="1474">
        <v>4.9036999999999997E-2</v>
      </c>
      <c r="N2700" s="1475">
        <v>1.7893782065943218</v>
      </c>
      <c r="O2700" s="1475"/>
    </row>
    <row r="2701" spans="11:15">
      <c r="K2701" s="1472">
        <v>44758</v>
      </c>
      <c r="L2701" s="1473"/>
      <c r="M2701" s="1474">
        <v>0</v>
      </c>
      <c r="N2701" s="1475">
        <v>1.7893782065943218</v>
      </c>
      <c r="O2701" s="1475"/>
    </row>
    <row r="2702" spans="11:15">
      <c r="K2702" s="1472">
        <v>44759</v>
      </c>
      <c r="L2702" s="1473"/>
      <c r="M2702" s="1474">
        <v>0</v>
      </c>
      <c r="N2702" s="1475">
        <v>1.7893782065943218</v>
      </c>
      <c r="O2702" s="1475"/>
    </row>
    <row r="2703" spans="11:15">
      <c r="K2703" s="1472">
        <v>44760</v>
      </c>
      <c r="L2703" s="1473" t="s">
        <v>2127</v>
      </c>
      <c r="M2703" s="1474">
        <v>4.9036999999999997E-2</v>
      </c>
      <c r="N2703" s="1475">
        <v>1.7902556639854896</v>
      </c>
      <c r="O2703" s="1475"/>
    </row>
    <row r="2704" spans="11:15">
      <c r="K2704" s="1472">
        <v>44761</v>
      </c>
      <c r="L2704" s="1473" t="s">
        <v>2127</v>
      </c>
      <c r="M2704" s="1474">
        <v>4.9036999999999997E-2</v>
      </c>
      <c r="N2704" s="1475">
        <v>1.7911335516554383</v>
      </c>
      <c r="O2704" s="1475"/>
    </row>
    <row r="2705" spans="11:15">
      <c r="K2705" s="1472">
        <v>44762</v>
      </c>
      <c r="L2705" s="1473" t="s">
        <v>2127</v>
      </c>
      <c r="M2705" s="1474">
        <v>4.9036999999999997E-2</v>
      </c>
      <c r="N2705" s="1475">
        <v>1.7920118698151637</v>
      </c>
      <c r="O2705" s="1475"/>
    </row>
    <row r="2706" spans="11:15">
      <c r="K2706" s="1472">
        <v>44763</v>
      </c>
      <c r="L2706" s="1473" t="s">
        <v>2127</v>
      </c>
      <c r="M2706" s="1474">
        <v>4.9036999999999997E-2</v>
      </c>
      <c r="N2706" s="1475">
        <v>1.7928906186757652</v>
      </c>
      <c r="O2706" s="1475"/>
    </row>
    <row r="2707" spans="11:15">
      <c r="K2707" s="1472">
        <v>44764</v>
      </c>
      <c r="L2707" s="1473" t="s">
        <v>2127</v>
      </c>
      <c r="M2707" s="1474">
        <v>4.9036999999999997E-2</v>
      </c>
      <c r="N2707" s="1475">
        <v>1.7937697984484453</v>
      </c>
      <c r="O2707" s="1475"/>
    </row>
    <row r="2708" spans="11:15">
      <c r="K2708" s="1472">
        <v>44765</v>
      </c>
      <c r="L2708" s="1473"/>
      <c r="M2708" s="1474">
        <v>0</v>
      </c>
      <c r="N2708" s="1475">
        <v>1.7937697984484453</v>
      </c>
      <c r="O2708" s="1475"/>
    </row>
    <row r="2709" spans="11:15">
      <c r="K2709" s="1472">
        <v>44766</v>
      </c>
      <c r="L2709" s="1473"/>
      <c r="M2709" s="1474">
        <v>0</v>
      </c>
      <c r="N2709" s="1475">
        <v>1.7937697984484453</v>
      </c>
      <c r="O2709" s="1475"/>
    </row>
    <row r="2710" spans="11:15">
      <c r="K2710" s="1472">
        <v>44767</v>
      </c>
      <c r="L2710" s="1473" t="s">
        <v>2127</v>
      </c>
      <c r="M2710" s="1474">
        <v>4.9036999999999997E-2</v>
      </c>
      <c r="N2710" s="1475">
        <v>1.7946494093445107</v>
      </c>
      <c r="O2710" s="1475"/>
    </row>
    <row r="2711" spans="11:15">
      <c r="K2711" s="1472">
        <v>44768</v>
      </c>
      <c r="L2711" s="1473" t="s">
        <v>2127</v>
      </c>
      <c r="M2711" s="1474">
        <v>4.9036999999999997E-2</v>
      </c>
      <c r="N2711" s="1475">
        <v>1.795529451575371</v>
      </c>
      <c r="O2711" s="1475"/>
    </row>
    <row r="2712" spans="11:15">
      <c r="K2712" s="1472">
        <v>44769</v>
      </c>
      <c r="L2712" s="1473" t="s">
        <v>2127</v>
      </c>
      <c r="M2712" s="1474">
        <v>4.9036999999999997E-2</v>
      </c>
      <c r="N2712" s="1475">
        <v>1.7964099253525401</v>
      </c>
      <c r="O2712" s="1475"/>
    </row>
    <row r="2713" spans="11:15">
      <c r="K2713" s="1472">
        <v>44770</v>
      </c>
      <c r="L2713" s="1473" t="s">
        <v>2127</v>
      </c>
      <c r="M2713" s="1474">
        <v>4.9036999999999997E-2</v>
      </c>
      <c r="N2713" s="1475">
        <v>1.7972908308876354</v>
      </c>
      <c r="O2713" s="1475"/>
    </row>
    <row r="2714" spans="11:15">
      <c r="K2714" s="1472">
        <v>44771</v>
      </c>
      <c r="L2714" s="1473" t="s">
        <v>2127</v>
      </c>
      <c r="M2714" s="1474">
        <v>4.9036999999999997E-2</v>
      </c>
      <c r="N2714" s="1475">
        <v>1.7981721683923779</v>
      </c>
      <c r="O2714" s="1475"/>
    </row>
    <row r="2715" spans="11:15">
      <c r="K2715" s="1472">
        <v>44772</v>
      </c>
      <c r="L2715" s="1473"/>
      <c r="M2715" s="1474">
        <v>0</v>
      </c>
      <c r="N2715" s="1475">
        <v>1.7981721683923779</v>
      </c>
      <c r="O2715" s="1475"/>
    </row>
    <row r="2716" spans="11:15">
      <c r="K2716" s="1472">
        <v>44773</v>
      </c>
      <c r="L2716" s="1473"/>
      <c r="M2716" s="1474">
        <v>0</v>
      </c>
      <c r="N2716" s="1475">
        <v>1.7981721683923779</v>
      </c>
      <c r="O2716" s="1475"/>
    </row>
    <row r="2717" spans="11:15">
      <c r="K2717" s="1472">
        <v>44774</v>
      </c>
      <c r="L2717" s="1473" t="s">
        <v>2127</v>
      </c>
      <c r="M2717" s="1474">
        <v>4.9036999999999997E-2</v>
      </c>
      <c r="N2717" s="1475">
        <v>1.7990539380785926</v>
      </c>
      <c r="O2717" s="1475"/>
    </row>
    <row r="2718" spans="11:15">
      <c r="K2718" s="1472">
        <v>44775</v>
      </c>
      <c r="L2718" s="1473" t="s">
        <v>2127</v>
      </c>
      <c r="M2718" s="1474">
        <v>4.9036999999999997E-2</v>
      </c>
      <c r="N2718" s="1475">
        <v>1.7999361401582084</v>
      </c>
      <c r="O2718" s="1475"/>
    </row>
    <row r="2719" spans="11:15">
      <c r="K2719" s="1472">
        <v>44776</v>
      </c>
      <c r="L2719" s="1473" t="s">
        <v>2127</v>
      </c>
      <c r="M2719" s="1474">
        <v>4.9036999999999997E-2</v>
      </c>
      <c r="N2719" s="1475">
        <v>1.8008187748432578</v>
      </c>
      <c r="O2719" s="1475"/>
    </row>
    <row r="2720" spans="11:15">
      <c r="K2720" s="1472">
        <v>44777</v>
      </c>
      <c r="L2720" s="1473" t="s">
        <v>2127</v>
      </c>
      <c r="M2720" s="1474">
        <v>5.0788E-2</v>
      </c>
      <c r="N2720" s="1475">
        <v>1.8017333746826252</v>
      </c>
      <c r="O2720" s="1475"/>
    </row>
    <row r="2721" spans="11:15">
      <c r="K2721" s="1472">
        <v>44778</v>
      </c>
      <c r="L2721" s="1473" t="s">
        <v>2127</v>
      </c>
      <c r="M2721" s="1474">
        <v>5.0788E-2</v>
      </c>
      <c r="N2721" s="1475">
        <v>1.802648439028959</v>
      </c>
      <c r="O2721" s="1475"/>
    </row>
    <row r="2722" spans="11:15">
      <c r="K2722" s="1472">
        <v>44779</v>
      </c>
      <c r="L2722" s="1473"/>
      <c r="M2722" s="1474">
        <v>0</v>
      </c>
      <c r="N2722" s="1475">
        <v>1.802648439028959</v>
      </c>
      <c r="O2722" s="1475"/>
    </row>
    <row r="2723" spans="11:15">
      <c r="K2723" s="1472">
        <v>44780</v>
      </c>
      <c r="L2723" s="1473"/>
      <c r="M2723" s="1474">
        <v>0</v>
      </c>
      <c r="N2723" s="1475">
        <v>1.802648439028959</v>
      </c>
      <c r="O2723" s="1475"/>
    </row>
    <row r="2724" spans="11:15">
      <c r="K2724" s="1472">
        <v>44781</v>
      </c>
      <c r="L2724" s="1473" t="s">
        <v>2127</v>
      </c>
      <c r="M2724" s="1474">
        <v>5.0788E-2</v>
      </c>
      <c r="N2724" s="1475">
        <v>1.803563968118173</v>
      </c>
      <c r="O2724" s="1475"/>
    </row>
    <row r="2725" spans="11:15">
      <c r="K2725" s="1472">
        <v>44782</v>
      </c>
      <c r="L2725" s="1473" t="s">
        <v>2127</v>
      </c>
      <c r="M2725" s="1474">
        <v>5.0788E-2</v>
      </c>
      <c r="N2725" s="1475">
        <v>1.8044799621863008</v>
      </c>
      <c r="O2725" s="1475"/>
    </row>
    <row r="2726" spans="11:15">
      <c r="K2726" s="1472">
        <v>44783</v>
      </c>
      <c r="L2726" s="1473" t="s">
        <v>2127</v>
      </c>
      <c r="M2726" s="1474">
        <v>5.0788E-2</v>
      </c>
      <c r="N2726" s="1475">
        <v>1.805396421469496</v>
      </c>
      <c r="O2726" s="1475"/>
    </row>
    <row r="2727" spans="11:15">
      <c r="K2727" s="1472">
        <v>44784</v>
      </c>
      <c r="L2727" s="1473" t="s">
        <v>2127</v>
      </c>
      <c r="M2727" s="1474">
        <v>5.0788E-2</v>
      </c>
      <c r="N2727" s="1475">
        <v>1.8063133462040319</v>
      </c>
      <c r="O2727" s="1475"/>
    </row>
    <row r="2728" spans="11:15">
      <c r="K2728" s="1472">
        <v>44785</v>
      </c>
      <c r="L2728" s="1473" t="s">
        <v>2127</v>
      </c>
      <c r="M2728" s="1474">
        <v>5.0788E-2</v>
      </c>
      <c r="N2728" s="1475">
        <v>1.8072307366263021</v>
      </c>
      <c r="O2728" s="1475"/>
    </row>
    <row r="2729" spans="11:15">
      <c r="K2729" s="1472">
        <v>44786</v>
      </c>
      <c r="L2729" s="1473"/>
      <c r="M2729" s="1474">
        <v>0</v>
      </c>
      <c r="N2729" s="1475">
        <v>1.8072307366263021</v>
      </c>
      <c r="O2729" s="1475"/>
    </row>
    <row r="2730" spans="11:15">
      <c r="K2730" s="1472">
        <v>44787</v>
      </c>
      <c r="L2730" s="1473"/>
      <c r="M2730" s="1474">
        <v>0</v>
      </c>
      <c r="N2730" s="1475">
        <v>1.8072307366263021</v>
      </c>
      <c r="O2730" s="1475"/>
    </row>
    <row r="2731" spans="11:15">
      <c r="K2731" s="1472">
        <v>44788</v>
      </c>
      <c r="L2731" s="1473" t="s">
        <v>2127</v>
      </c>
      <c r="M2731" s="1474">
        <v>5.0788E-2</v>
      </c>
      <c r="N2731" s="1475">
        <v>1.8081485929728198</v>
      </c>
      <c r="O2731" s="1475"/>
    </row>
    <row r="2732" spans="11:15">
      <c r="K2732" s="1472">
        <v>44789</v>
      </c>
      <c r="L2732" s="1473" t="s">
        <v>2127</v>
      </c>
      <c r="M2732" s="1474">
        <v>5.0788E-2</v>
      </c>
      <c r="N2732" s="1475">
        <v>1.8090669154802188</v>
      </c>
      <c r="O2732" s="1475"/>
    </row>
    <row r="2733" spans="11:15">
      <c r="K2733" s="1472">
        <v>44790</v>
      </c>
      <c r="L2733" s="1473" t="s">
        <v>2127</v>
      </c>
      <c r="M2733" s="1474">
        <v>5.0788E-2</v>
      </c>
      <c r="N2733" s="1475">
        <v>1.809985704385253</v>
      </c>
      <c r="O2733" s="1475"/>
    </row>
    <row r="2734" spans="11:15">
      <c r="K2734" s="1472">
        <v>44791</v>
      </c>
      <c r="L2734" s="1473" t="s">
        <v>2127</v>
      </c>
      <c r="M2734" s="1474">
        <v>5.0788E-2</v>
      </c>
      <c r="N2734" s="1475">
        <v>1.8109049599247962</v>
      </c>
      <c r="O2734" s="1475"/>
    </row>
    <row r="2735" spans="11:15">
      <c r="K2735" s="1472">
        <v>44792</v>
      </c>
      <c r="L2735" s="1473" t="s">
        <v>2127</v>
      </c>
      <c r="M2735" s="1474">
        <v>5.0788E-2</v>
      </c>
      <c r="N2735" s="1475">
        <v>1.8118246823358428</v>
      </c>
      <c r="O2735" s="1475"/>
    </row>
    <row r="2736" spans="11:15">
      <c r="K2736" s="1472">
        <v>44793</v>
      </c>
      <c r="L2736" s="1473"/>
      <c r="M2736" s="1474">
        <v>0</v>
      </c>
      <c r="N2736" s="1475">
        <v>1.8118246823358428</v>
      </c>
      <c r="O2736" s="1475"/>
    </row>
    <row r="2737" spans="11:15">
      <c r="K2737" s="1472">
        <v>44794</v>
      </c>
      <c r="L2737" s="1473"/>
      <c r="M2737" s="1474">
        <v>0</v>
      </c>
      <c r="N2737" s="1475">
        <v>1.8118246823358428</v>
      </c>
      <c r="O2737" s="1475"/>
    </row>
    <row r="2738" spans="11:15">
      <c r="K2738" s="1472">
        <v>44795</v>
      </c>
      <c r="L2738" s="1473" t="s">
        <v>2127</v>
      </c>
      <c r="M2738" s="1474">
        <v>5.0788E-2</v>
      </c>
      <c r="N2738" s="1475">
        <v>1.8127448718555075</v>
      </c>
      <c r="O2738" s="1475"/>
    </row>
    <row r="2739" spans="11:15">
      <c r="K2739" s="1472">
        <v>44796</v>
      </c>
      <c r="L2739" s="1473" t="s">
        <v>2127</v>
      </c>
      <c r="M2739" s="1474">
        <v>5.0788E-2</v>
      </c>
      <c r="N2739" s="1475">
        <v>1.8136655287210255</v>
      </c>
      <c r="O2739" s="1475"/>
    </row>
    <row r="2740" spans="11:15">
      <c r="K2740" s="1472">
        <v>44797</v>
      </c>
      <c r="L2740" s="1473" t="s">
        <v>2127</v>
      </c>
      <c r="M2740" s="1474">
        <v>5.0788E-2</v>
      </c>
      <c r="N2740" s="1475">
        <v>1.8145866531697523</v>
      </c>
      <c r="O2740" s="1475"/>
    </row>
    <row r="2741" spans="11:15">
      <c r="K2741" s="1472">
        <v>44798</v>
      </c>
      <c r="L2741" s="1473" t="s">
        <v>2127</v>
      </c>
      <c r="M2741" s="1474">
        <v>5.0788E-2</v>
      </c>
      <c r="N2741" s="1475">
        <v>1.8155082454391642</v>
      </c>
      <c r="O2741" s="1475"/>
    </row>
    <row r="2742" spans="11:15">
      <c r="K2742" s="1472">
        <v>44799</v>
      </c>
      <c r="L2742" s="1473" t="s">
        <v>2127</v>
      </c>
      <c r="M2742" s="1474">
        <v>5.0788E-2</v>
      </c>
      <c r="N2742" s="1475">
        <v>1.8164303057668578</v>
      </c>
      <c r="O2742" s="1475"/>
    </row>
    <row r="2743" spans="11:15">
      <c r="K2743" s="1472">
        <v>44800</v>
      </c>
      <c r="L2743" s="1473"/>
      <c r="M2743" s="1474">
        <v>0</v>
      </c>
      <c r="N2743" s="1475">
        <v>1.8164303057668578</v>
      </c>
      <c r="O2743" s="1475"/>
    </row>
    <row r="2744" spans="11:15">
      <c r="K2744" s="1472">
        <v>44801</v>
      </c>
      <c r="L2744" s="1473"/>
      <c r="M2744" s="1474">
        <v>0</v>
      </c>
      <c r="N2744" s="1475">
        <v>1.8164303057668578</v>
      </c>
      <c r="O2744" s="1475"/>
    </row>
    <row r="2745" spans="11:15">
      <c r="K2745" s="1472">
        <v>44802</v>
      </c>
      <c r="L2745" s="1473" t="s">
        <v>2127</v>
      </c>
      <c r="M2745" s="1474">
        <v>5.0788E-2</v>
      </c>
      <c r="N2745" s="1475">
        <v>1.8173528343905507</v>
      </c>
      <c r="O2745" s="1475"/>
    </row>
    <row r="2746" spans="11:15">
      <c r="K2746" s="1472">
        <v>44803</v>
      </c>
      <c r="L2746" s="1473" t="s">
        <v>2127</v>
      </c>
      <c r="M2746" s="1474">
        <v>5.0788E-2</v>
      </c>
      <c r="N2746" s="1475">
        <v>1.8182758315480809</v>
      </c>
      <c r="O2746" s="1475"/>
    </row>
    <row r="2747" spans="11:15">
      <c r="K2747" s="1472">
        <v>44804</v>
      </c>
      <c r="L2747" s="1473" t="s">
        <v>2127</v>
      </c>
      <c r="M2747" s="1474">
        <v>5.0788E-2</v>
      </c>
      <c r="N2747" s="1475">
        <v>1.8191992974774076</v>
      </c>
      <c r="O2747" s="1475"/>
    </row>
    <row r="2748" spans="11:15">
      <c r="K2748" s="1472">
        <v>44805</v>
      </c>
      <c r="L2748" s="1473" t="s">
        <v>2127</v>
      </c>
      <c r="M2748" s="1474">
        <v>5.0788E-2</v>
      </c>
      <c r="N2748" s="1475">
        <v>1.8201232324166106</v>
      </c>
      <c r="O2748" s="1475"/>
    </row>
    <row r="2749" spans="11:15">
      <c r="K2749" s="1472">
        <v>44806</v>
      </c>
      <c r="L2749" s="1473" t="s">
        <v>2127</v>
      </c>
      <c r="M2749" s="1474">
        <v>5.0788E-2</v>
      </c>
      <c r="N2749" s="1475">
        <v>1.8210476366038904</v>
      </c>
      <c r="O2749" s="1475"/>
    </row>
    <row r="2750" spans="11:15">
      <c r="K2750" s="1472">
        <v>44807</v>
      </c>
      <c r="L2750" s="1473"/>
      <c r="M2750" s="1474">
        <v>0</v>
      </c>
      <c r="N2750" s="1475">
        <v>1.8210476366038904</v>
      </c>
      <c r="O2750" s="1475"/>
    </row>
    <row r="2751" spans="11:15">
      <c r="K2751" s="1472">
        <v>44808</v>
      </c>
      <c r="L2751" s="1473"/>
      <c r="M2751" s="1474">
        <v>0</v>
      </c>
      <c r="N2751" s="1475">
        <v>1.8210476366038904</v>
      </c>
      <c r="O2751" s="1475"/>
    </row>
    <row r="2752" spans="11:15">
      <c r="K2752" s="1472">
        <v>44809</v>
      </c>
      <c r="L2752" s="1473" t="s">
        <v>2127</v>
      </c>
      <c r="M2752" s="1474">
        <v>5.0788E-2</v>
      </c>
      <c r="N2752" s="1475">
        <v>1.8219725102775688</v>
      </c>
      <c r="O2752" s="1475"/>
    </row>
    <row r="2753" spans="11:15">
      <c r="K2753" s="1472">
        <v>44810</v>
      </c>
      <c r="L2753" s="1473" t="s">
        <v>2127</v>
      </c>
      <c r="M2753" s="1474">
        <v>5.0788E-2</v>
      </c>
      <c r="N2753" s="1475">
        <v>1.8228978536760887</v>
      </c>
      <c r="O2753" s="1475"/>
    </row>
    <row r="2754" spans="11:15">
      <c r="K2754" s="1472">
        <v>44811</v>
      </c>
      <c r="L2754" s="1473"/>
      <c r="M2754" s="1474">
        <v>0</v>
      </c>
      <c r="N2754" s="1475">
        <v>1.8228978536760887</v>
      </c>
      <c r="O2754" s="1475"/>
    </row>
    <row r="2755" spans="11:15">
      <c r="K2755" s="1472">
        <v>44812</v>
      </c>
      <c r="L2755" s="1473" t="s">
        <v>2127</v>
      </c>
      <c r="M2755" s="1474">
        <v>5.0788E-2</v>
      </c>
      <c r="N2755" s="1475">
        <v>1.8238236670380137</v>
      </c>
      <c r="O2755" s="1475"/>
    </row>
    <row r="2756" spans="11:15">
      <c r="K2756" s="1472">
        <v>44813</v>
      </c>
      <c r="L2756" s="1473" t="s">
        <v>2127</v>
      </c>
      <c r="M2756" s="1474">
        <v>5.0788E-2</v>
      </c>
      <c r="N2756" s="1475">
        <v>1.824749950602029</v>
      </c>
      <c r="O2756" s="1475"/>
    </row>
    <row r="2757" spans="11:15">
      <c r="K2757" s="1472">
        <v>44814</v>
      </c>
      <c r="L2757" s="1473"/>
      <c r="M2757" s="1474">
        <v>0</v>
      </c>
      <c r="N2757" s="1475">
        <v>1.824749950602029</v>
      </c>
      <c r="O2757" s="1475"/>
    </row>
    <row r="2758" spans="11:15">
      <c r="K2758" s="1472">
        <v>44815</v>
      </c>
      <c r="L2758" s="1473"/>
      <c r="M2758" s="1474">
        <v>0</v>
      </c>
      <c r="N2758" s="1475">
        <v>1.824749950602029</v>
      </c>
      <c r="O2758" s="1475"/>
    </row>
    <row r="2759" spans="11:15">
      <c r="K2759" s="1472">
        <v>44816</v>
      </c>
      <c r="L2759" s="1473" t="s">
        <v>2127</v>
      </c>
      <c r="M2759" s="1474">
        <v>5.0788E-2</v>
      </c>
      <c r="N2759" s="1475">
        <v>1.8256767046069409</v>
      </c>
      <c r="O2759" s="1475"/>
    </row>
    <row r="2760" spans="11:15">
      <c r="K2760" s="1472">
        <v>44817</v>
      </c>
      <c r="L2760" s="1473" t="s">
        <v>2127</v>
      </c>
      <c r="M2760" s="1474">
        <v>5.0788E-2</v>
      </c>
      <c r="N2760" s="1475">
        <v>1.8266039292916767</v>
      </c>
      <c r="O2760" s="1475"/>
    </row>
    <row r="2761" spans="11:15">
      <c r="K2761" s="1472">
        <v>44818</v>
      </c>
      <c r="L2761" s="1473" t="s">
        <v>2127</v>
      </c>
      <c r="M2761" s="1474">
        <v>5.0788E-2</v>
      </c>
      <c r="N2761" s="1475">
        <v>1.8275316248952853</v>
      </c>
      <c r="O2761" s="1475"/>
    </row>
    <row r="2762" spans="11:15">
      <c r="K2762" s="1472">
        <v>44819</v>
      </c>
      <c r="L2762" s="1473" t="s">
        <v>2127</v>
      </c>
      <c r="M2762" s="1474">
        <v>5.0788E-2</v>
      </c>
      <c r="N2762" s="1475">
        <v>1.8284597916569372</v>
      </c>
      <c r="O2762" s="1475"/>
    </row>
    <row r="2763" spans="11:15">
      <c r="K2763" s="1472">
        <v>44820</v>
      </c>
      <c r="L2763" s="1473" t="s">
        <v>2127</v>
      </c>
      <c r="M2763" s="1474">
        <v>5.0788E-2</v>
      </c>
      <c r="N2763" s="1475">
        <v>1.829388429815924</v>
      </c>
      <c r="O2763" s="1475"/>
    </row>
    <row r="2764" spans="11:15">
      <c r="K2764" s="1472">
        <v>44821</v>
      </c>
      <c r="L2764" s="1473"/>
      <c r="M2764" s="1474">
        <v>0</v>
      </c>
      <c r="N2764" s="1475">
        <v>1.829388429815924</v>
      </c>
      <c r="O2764" s="1475"/>
    </row>
    <row r="2765" spans="11:15">
      <c r="K2765" s="1472">
        <v>44822</v>
      </c>
      <c r="L2765" s="1473"/>
      <c r="M2765" s="1474">
        <v>0</v>
      </c>
      <c r="N2765" s="1475">
        <v>1.829388429815924</v>
      </c>
      <c r="O2765" s="1475"/>
    </row>
    <row r="2766" spans="11:15">
      <c r="K2766" s="1472">
        <v>44823</v>
      </c>
      <c r="L2766" s="1473" t="s">
        <v>2127</v>
      </c>
      <c r="M2766" s="1474">
        <v>5.0788E-2</v>
      </c>
      <c r="N2766" s="1475">
        <v>1.8303175396116589</v>
      </c>
      <c r="O2766" s="1475"/>
    </row>
    <row r="2767" spans="11:15">
      <c r="K2767" s="1472">
        <v>44824</v>
      </c>
      <c r="L2767" s="1473" t="s">
        <v>2127</v>
      </c>
      <c r="M2767" s="1474">
        <v>5.0788E-2</v>
      </c>
      <c r="N2767" s="1475">
        <v>1.8312471212836769</v>
      </c>
      <c r="O2767" s="1475"/>
    </row>
    <row r="2768" spans="11:15">
      <c r="K2768" s="1472">
        <v>44825</v>
      </c>
      <c r="L2768" s="1473" t="s">
        <v>2127</v>
      </c>
      <c r="M2768" s="1474">
        <v>5.0788E-2</v>
      </c>
      <c r="N2768" s="1475">
        <v>1.8321771750716345</v>
      </c>
      <c r="O2768" s="1475"/>
    </row>
    <row r="2769" spans="11:15">
      <c r="K2769" s="1472">
        <v>44826</v>
      </c>
      <c r="L2769" s="1473" t="s">
        <v>2127</v>
      </c>
      <c r="M2769" s="1474">
        <v>5.0788E-2</v>
      </c>
      <c r="N2769" s="1475">
        <v>1.8331077012153099</v>
      </c>
      <c r="O2769" s="1475"/>
    </row>
    <row r="2770" spans="11:15">
      <c r="K2770" s="1472">
        <v>44827</v>
      </c>
      <c r="L2770" s="1473" t="s">
        <v>2127</v>
      </c>
      <c r="M2770" s="1474">
        <v>5.0788E-2</v>
      </c>
      <c r="N2770" s="1475">
        <v>1.8340386999546032</v>
      </c>
      <c r="O2770" s="1475"/>
    </row>
    <row r="2771" spans="11:15">
      <c r="K2771" s="1472">
        <v>44828</v>
      </c>
      <c r="L2771" s="1473"/>
      <c r="M2771" s="1474">
        <v>0</v>
      </c>
      <c r="N2771" s="1475">
        <v>1.8340386999546032</v>
      </c>
      <c r="O2771" s="1475"/>
    </row>
    <row r="2772" spans="11:15">
      <c r="K2772" s="1472">
        <v>44829</v>
      </c>
      <c r="L2772" s="1473"/>
      <c r="M2772" s="1474">
        <v>0</v>
      </c>
      <c r="N2772" s="1475">
        <v>1.8340386999546032</v>
      </c>
      <c r="O2772" s="1475"/>
    </row>
    <row r="2773" spans="11:15">
      <c r="K2773" s="1472">
        <v>44830</v>
      </c>
      <c r="L2773" s="1473" t="s">
        <v>2127</v>
      </c>
      <c r="M2773" s="1474">
        <v>5.0788E-2</v>
      </c>
      <c r="N2773" s="1475">
        <v>1.8349701715295361</v>
      </c>
      <c r="O2773" s="1475"/>
    </row>
    <row r="2774" spans="11:15">
      <c r="K2774" s="1472">
        <v>44831</v>
      </c>
      <c r="L2774" s="1473" t="s">
        <v>2127</v>
      </c>
      <c r="M2774" s="1474">
        <v>5.0788E-2</v>
      </c>
      <c r="N2774" s="1475">
        <v>1.8359021161802527</v>
      </c>
      <c r="O2774" s="1475"/>
    </row>
    <row r="2775" spans="11:15">
      <c r="K2775" s="1472">
        <v>44832</v>
      </c>
      <c r="L2775" s="1473" t="s">
        <v>2127</v>
      </c>
      <c r="M2775" s="1474">
        <v>5.0788E-2</v>
      </c>
      <c r="N2775" s="1475">
        <v>1.8368345341470182</v>
      </c>
      <c r="O2775" s="1475"/>
    </row>
    <row r="2776" spans="11:15">
      <c r="K2776" s="1472">
        <v>44833</v>
      </c>
      <c r="L2776" s="1473" t="s">
        <v>2127</v>
      </c>
      <c r="M2776" s="1474">
        <v>5.0788E-2</v>
      </c>
      <c r="N2776" s="1475">
        <v>1.8377674256702208</v>
      </c>
      <c r="O2776" s="1475"/>
    </row>
    <row r="2777" spans="11:15">
      <c r="K2777" s="1472">
        <v>44834</v>
      </c>
      <c r="L2777" s="1473" t="s">
        <v>2127</v>
      </c>
      <c r="M2777" s="1474">
        <v>5.0788E-2</v>
      </c>
      <c r="N2777" s="1475">
        <v>1.8387007909903701</v>
      </c>
      <c r="O2777" s="1475"/>
    </row>
    <row r="2778" spans="11:15">
      <c r="K2778" s="1472">
        <v>44835</v>
      </c>
      <c r="L2778" s="1473"/>
      <c r="M2778" s="1474">
        <v>0</v>
      </c>
      <c r="N2778" s="1475">
        <v>1.8387007909903701</v>
      </c>
      <c r="O2778" s="1475"/>
    </row>
    <row r="2779" spans="11:15">
      <c r="K2779" s="1472">
        <v>44836</v>
      </c>
      <c r="L2779" s="1473"/>
      <c r="M2779" s="1474">
        <v>0</v>
      </c>
      <c r="N2779" s="1475">
        <v>1.8387007909903701</v>
      </c>
      <c r="O2779" s="1475"/>
    </row>
    <row r="2780" spans="11:15">
      <c r="K2780" s="1472">
        <v>44837</v>
      </c>
      <c r="L2780" s="1473" t="s">
        <v>2127</v>
      </c>
      <c r="M2780" s="1474">
        <v>5.0788E-2</v>
      </c>
      <c r="N2780" s="1475">
        <v>1.8396346303480984</v>
      </c>
      <c r="O2780" s="1475"/>
    </row>
    <row r="2781" spans="11:15">
      <c r="K2781" s="1472">
        <v>44838</v>
      </c>
      <c r="L2781" s="1473" t="s">
        <v>2127</v>
      </c>
      <c r="M2781" s="1474">
        <v>5.0788E-2</v>
      </c>
      <c r="N2781" s="1475">
        <v>1.8405689439841595</v>
      </c>
      <c r="O2781" s="1475"/>
    </row>
    <row r="2782" spans="11:15">
      <c r="K2782" s="1472">
        <v>44839</v>
      </c>
      <c r="L2782" s="1473" t="s">
        <v>2127</v>
      </c>
      <c r="M2782" s="1474">
        <v>5.0788E-2</v>
      </c>
      <c r="N2782" s="1475">
        <v>1.8415037321394301</v>
      </c>
      <c r="O2782" s="1475"/>
    </row>
    <row r="2783" spans="11:15">
      <c r="K2783" s="1472">
        <v>44840</v>
      </c>
      <c r="L2783" s="1473" t="s">
        <v>2127</v>
      </c>
      <c r="M2783" s="1474">
        <v>5.0788E-2</v>
      </c>
      <c r="N2783" s="1475">
        <v>1.8424389950549092</v>
      </c>
      <c r="O2783" s="1475"/>
    </row>
    <row r="2784" spans="11:15">
      <c r="K2784" s="1472">
        <v>44841</v>
      </c>
      <c r="L2784" s="1473" t="s">
        <v>2127</v>
      </c>
      <c r="M2784" s="1474">
        <v>5.0788E-2</v>
      </c>
      <c r="N2784" s="1475">
        <v>1.8433747329717176</v>
      </c>
      <c r="O2784" s="1475"/>
    </row>
    <row r="2785" spans="11:15">
      <c r="K2785" s="1472">
        <v>44842</v>
      </c>
      <c r="L2785" s="1473"/>
      <c r="M2785" s="1474">
        <v>0</v>
      </c>
      <c r="N2785" s="1475">
        <v>1.8433747329717176</v>
      </c>
      <c r="O2785" s="1475"/>
    </row>
    <row r="2786" spans="11:15">
      <c r="K2786" s="1472">
        <v>44843</v>
      </c>
      <c r="L2786" s="1473"/>
      <c r="M2786" s="1474">
        <v>0</v>
      </c>
      <c r="N2786" s="1475">
        <v>1.8433747329717176</v>
      </c>
      <c r="O2786" s="1475"/>
    </row>
    <row r="2787" spans="11:15">
      <c r="K2787" s="1472">
        <v>44844</v>
      </c>
      <c r="L2787" s="1473" t="s">
        <v>2127</v>
      </c>
      <c r="M2787" s="1474">
        <v>5.0788E-2</v>
      </c>
      <c r="N2787" s="1475">
        <v>1.8443109461310994</v>
      </c>
      <c r="O2787" s="1475"/>
    </row>
    <row r="2788" spans="11:15">
      <c r="K2788" s="1472">
        <v>44845</v>
      </c>
      <c r="L2788" s="1473" t="s">
        <v>2127</v>
      </c>
      <c r="M2788" s="1474">
        <v>5.0788E-2</v>
      </c>
      <c r="N2788" s="1475">
        <v>1.8452476347744204</v>
      </c>
      <c r="O2788" s="1475"/>
    </row>
    <row r="2789" spans="11:15">
      <c r="K2789" s="1472">
        <v>44846</v>
      </c>
      <c r="L2789" s="1473"/>
      <c r="M2789" s="1474">
        <v>0</v>
      </c>
      <c r="N2789" s="1475">
        <v>1.8452476347744204</v>
      </c>
      <c r="O2789" s="1475"/>
    </row>
    <row r="2790" spans="11:15">
      <c r="K2790" s="1472">
        <v>44847</v>
      </c>
      <c r="L2790" s="1473" t="s">
        <v>2127</v>
      </c>
      <c r="M2790" s="1474">
        <v>5.0788E-2</v>
      </c>
      <c r="N2790" s="1475">
        <v>1.8461847991431697</v>
      </c>
      <c r="O2790" s="1475"/>
    </row>
    <row r="2791" spans="11:15">
      <c r="K2791" s="1472">
        <v>44848</v>
      </c>
      <c r="L2791" s="1473" t="s">
        <v>2127</v>
      </c>
      <c r="M2791" s="1474">
        <v>5.0788E-2</v>
      </c>
      <c r="N2791" s="1475">
        <v>1.8471224394789585</v>
      </c>
      <c r="O2791" s="1475"/>
    </row>
    <row r="2792" spans="11:15">
      <c r="K2792" s="1472">
        <v>44849</v>
      </c>
      <c r="L2792" s="1473"/>
      <c r="M2792" s="1474">
        <v>0</v>
      </c>
      <c r="N2792" s="1475">
        <v>1.8471224394789585</v>
      </c>
      <c r="O2792" s="1475"/>
    </row>
    <row r="2793" spans="11:15">
      <c r="K2793" s="1472">
        <v>44850</v>
      </c>
      <c r="L2793" s="1473"/>
      <c r="M2793" s="1474">
        <v>0</v>
      </c>
      <c r="N2793" s="1475">
        <v>1.8471224394789585</v>
      </c>
      <c r="O2793" s="1475"/>
    </row>
    <row r="2794" spans="11:15">
      <c r="K2794" s="1472">
        <v>44851</v>
      </c>
      <c r="L2794" s="1473" t="s">
        <v>2127</v>
      </c>
      <c r="M2794" s="1474">
        <v>5.0788E-2</v>
      </c>
      <c r="N2794" s="1475">
        <v>1.848060556023521</v>
      </c>
      <c r="O2794" s="1475"/>
    </row>
    <row r="2795" spans="11:15">
      <c r="K2795" s="1472">
        <v>44852</v>
      </c>
      <c r="L2795" s="1473" t="s">
        <v>2127</v>
      </c>
      <c r="M2795" s="1474">
        <v>5.0788E-2</v>
      </c>
      <c r="N2795" s="1475">
        <v>1.8489991490187143</v>
      </c>
      <c r="O2795" s="1475"/>
    </row>
    <row r="2796" spans="11:15">
      <c r="K2796" s="1472">
        <v>44853</v>
      </c>
      <c r="L2796" s="1473" t="s">
        <v>2127</v>
      </c>
      <c r="M2796" s="1474">
        <v>5.0788E-2</v>
      </c>
      <c r="N2796" s="1475">
        <v>1.8499382187065179</v>
      </c>
      <c r="O2796" s="1475"/>
    </row>
    <row r="2797" spans="11:15">
      <c r="K2797" s="1472">
        <v>44854</v>
      </c>
      <c r="L2797" s="1473" t="s">
        <v>2127</v>
      </c>
      <c r="M2797" s="1474">
        <v>5.0788E-2</v>
      </c>
      <c r="N2797" s="1475">
        <v>1.8508777653290345</v>
      </c>
      <c r="O2797" s="1475"/>
    </row>
    <row r="2798" spans="11:15">
      <c r="K2798" s="1472">
        <v>44855</v>
      </c>
      <c r="L2798" s="1473" t="s">
        <v>2127</v>
      </c>
      <c r="M2798" s="1474">
        <v>5.0788E-2</v>
      </c>
      <c r="N2798" s="1475">
        <v>1.8518177891284897</v>
      </c>
      <c r="O2798" s="1475"/>
    </row>
    <row r="2799" spans="11:15">
      <c r="K2799" s="1472">
        <v>44856</v>
      </c>
      <c r="L2799" s="1473"/>
      <c r="M2799" s="1474">
        <v>0</v>
      </c>
      <c r="N2799" s="1475">
        <v>1.8518177891284897</v>
      </c>
      <c r="O2799" s="1475"/>
    </row>
    <row r="2800" spans="11:15">
      <c r="K2800" s="1472">
        <v>44857</v>
      </c>
      <c r="L2800" s="1473"/>
      <c r="M2800" s="1474">
        <v>0</v>
      </c>
      <c r="N2800" s="1475">
        <v>1.8518177891284897</v>
      </c>
      <c r="O2800" s="1475"/>
    </row>
    <row r="2801" spans="11:15">
      <c r="K2801" s="1472">
        <v>44858</v>
      </c>
      <c r="L2801" s="1473" t="s">
        <v>2127</v>
      </c>
      <c r="M2801" s="1474">
        <v>5.0788E-2</v>
      </c>
      <c r="N2801" s="1475">
        <v>1.8527582903472324</v>
      </c>
      <c r="O2801" s="1475"/>
    </row>
    <row r="2802" spans="11:15">
      <c r="K2802" s="1472">
        <v>44859</v>
      </c>
      <c r="L2802" s="1473" t="s">
        <v>2127</v>
      </c>
      <c r="M2802" s="1474">
        <v>5.0788E-2</v>
      </c>
      <c r="N2802" s="1475">
        <v>1.8536992692277339</v>
      </c>
      <c r="O2802" s="1475"/>
    </row>
    <row r="2803" spans="11:15">
      <c r="K2803" s="1472">
        <v>44860</v>
      </c>
      <c r="L2803" s="1473" t="s">
        <v>2127</v>
      </c>
      <c r="M2803" s="1474">
        <v>5.0788E-2</v>
      </c>
      <c r="N2803" s="1475">
        <v>1.8546407260125892</v>
      </c>
      <c r="O2803" s="1475"/>
    </row>
    <row r="2804" spans="11:15">
      <c r="K2804" s="1472">
        <v>44861</v>
      </c>
      <c r="L2804" s="1473" t="s">
        <v>2127</v>
      </c>
      <c r="M2804" s="1474">
        <v>5.0788E-2</v>
      </c>
      <c r="N2804" s="1475">
        <v>1.8555826609445165</v>
      </c>
      <c r="O2804" s="1475"/>
    </row>
    <row r="2805" spans="11:15">
      <c r="K2805" s="1472">
        <v>44862</v>
      </c>
      <c r="L2805" s="1473" t="s">
        <v>2127</v>
      </c>
      <c r="M2805" s="1474">
        <v>5.0788E-2</v>
      </c>
      <c r="N2805" s="1475">
        <v>1.856525074266357</v>
      </c>
      <c r="O2805" s="1475"/>
    </row>
    <row r="2806" spans="11:15">
      <c r="K2806" s="1472">
        <v>44863</v>
      </c>
      <c r="L2806" s="1473"/>
      <c r="M2806" s="1474">
        <v>0</v>
      </c>
      <c r="N2806" s="1475">
        <v>1.856525074266357</v>
      </c>
      <c r="O2806" s="1475"/>
    </row>
    <row r="2807" spans="11:15">
      <c r="K2807" s="1472">
        <v>44864</v>
      </c>
      <c r="L2807" s="1473"/>
      <c r="M2807" s="1474">
        <v>0</v>
      </c>
      <c r="N2807" s="1475">
        <v>1.856525074266357</v>
      </c>
      <c r="O2807" s="1475"/>
    </row>
    <row r="2808" spans="11:15">
      <c r="K2808" s="1472">
        <v>44865</v>
      </c>
      <c r="L2808" s="1473" t="s">
        <v>2127</v>
      </c>
      <c r="M2808" s="1474">
        <v>5.0788E-2</v>
      </c>
      <c r="N2808" s="1475">
        <v>1.8574679662210756</v>
      </c>
      <c r="O2808" s="1475"/>
    </row>
    <row r="2809" spans="11:15">
      <c r="K2809" s="1472">
        <v>44866</v>
      </c>
      <c r="L2809" s="1473" t="s">
        <v>2127</v>
      </c>
      <c r="M2809" s="1474">
        <v>5.0788E-2</v>
      </c>
      <c r="N2809" s="1475">
        <v>1.8584113370517599</v>
      </c>
      <c r="O2809" s="1475"/>
    </row>
    <row r="2810" spans="11:15">
      <c r="K2810" s="1472">
        <v>44867</v>
      </c>
      <c r="L2810" s="1473"/>
      <c r="M2810" s="1474">
        <v>0</v>
      </c>
      <c r="N2810" s="1475">
        <v>1.8584113370517599</v>
      </c>
      <c r="O2810" s="1475"/>
    </row>
    <row r="2811" spans="11:15">
      <c r="K2811" s="1472">
        <v>44868</v>
      </c>
      <c r="L2811" s="1473" t="s">
        <v>2127</v>
      </c>
      <c r="M2811" s="1474">
        <v>5.0788E-2</v>
      </c>
      <c r="N2811" s="1475">
        <v>1.8593551870016218</v>
      </c>
      <c r="O2811" s="1475"/>
    </row>
    <row r="2812" spans="11:15">
      <c r="K2812" s="1472">
        <v>44869</v>
      </c>
      <c r="L2812" s="1473" t="s">
        <v>2127</v>
      </c>
      <c r="M2812" s="1474">
        <v>5.0788E-2</v>
      </c>
      <c r="N2812" s="1475">
        <v>1.8602995163139961</v>
      </c>
      <c r="O2812" s="1475"/>
    </row>
    <row r="2813" spans="11:15">
      <c r="K2813" s="1472">
        <v>44870</v>
      </c>
      <c r="L2813" s="1473"/>
      <c r="M2813" s="1474">
        <v>0</v>
      </c>
      <c r="N2813" s="1475">
        <v>1.8602995163139961</v>
      </c>
      <c r="O2813" s="1475"/>
    </row>
    <row r="2814" spans="11:15">
      <c r="K2814" s="1472">
        <v>44871</v>
      </c>
      <c r="L2814" s="1473"/>
      <c r="M2814" s="1474">
        <v>0</v>
      </c>
      <c r="N2814" s="1475">
        <v>1.8602995163139961</v>
      </c>
      <c r="O2814" s="1475"/>
    </row>
    <row r="2815" spans="11:15">
      <c r="K2815" s="1472">
        <v>44872</v>
      </c>
      <c r="L2815" s="1473" t="s">
        <v>2127</v>
      </c>
      <c r="M2815" s="1474">
        <v>5.0788E-2</v>
      </c>
      <c r="N2815" s="1475">
        <v>1.8612443252323416</v>
      </c>
      <c r="O2815" s="1475"/>
    </row>
    <row r="2816" spans="11:15">
      <c r="K2816" s="1472">
        <v>44873</v>
      </c>
      <c r="L2816" s="1473" t="s">
        <v>2127</v>
      </c>
      <c r="M2816" s="1474">
        <v>5.0788E-2</v>
      </c>
      <c r="N2816" s="1475">
        <v>1.8621896140002407</v>
      </c>
      <c r="O2816" s="1475"/>
    </row>
    <row r="2817" spans="11:15">
      <c r="K2817" s="1472">
        <v>44874</v>
      </c>
      <c r="L2817" s="1473" t="s">
        <v>2127</v>
      </c>
      <c r="M2817" s="1474">
        <v>5.0788E-2</v>
      </c>
      <c r="N2817" s="1475">
        <v>1.8631353828613992</v>
      </c>
      <c r="O2817" s="1475"/>
    </row>
    <row r="2818" spans="11:15">
      <c r="K2818" s="1472">
        <v>44875</v>
      </c>
      <c r="L2818" s="1473" t="s">
        <v>2127</v>
      </c>
      <c r="M2818" s="1474">
        <v>5.0788E-2</v>
      </c>
      <c r="N2818" s="1475">
        <v>1.8640816320596469</v>
      </c>
      <c r="O2818" s="1475"/>
    </row>
    <row r="2819" spans="11:15">
      <c r="K2819" s="1472">
        <v>44876</v>
      </c>
      <c r="L2819" s="1473" t="s">
        <v>2127</v>
      </c>
      <c r="M2819" s="1474">
        <v>5.0788E-2</v>
      </c>
      <c r="N2819" s="1475">
        <v>1.8650283618389374</v>
      </c>
      <c r="O2819" s="1475"/>
    </row>
    <row r="2820" spans="11:15">
      <c r="K2820" s="1472">
        <v>44877</v>
      </c>
      <c r="L2820" s="1473"/>
      <c r="M2820" s="1474">
        <v>0</v>
      </c>
      <c r="N2820" s="1475">
        <v>1.8650283618389374</v>
      </c>
      <c r="O2820" s="1475"/>
    </row>
    <row r="2821" spans="11:15">
      <c r="K2821" s="1472">
        <v>44878</v>
      </c>
      <c r="L2821" s="1473"/>
      <c r="M2821" s="1474">
        <v>0</v>
      </c>
      <c r="N2821" s="1475">
        <v>1.8650283618389374</v>
      </c>
      <c r="O2821" s="1475"/>
    </row>
    <row r="2822" spans="11:15">
      <c r="K2822" s="1472">
        <v>44879</v>
      </c>
      <c r="L2822" s="1473" t="s">
        <v>2127</v>
      </c>
      <c r="M2822" s="1474">
        <v>5.0788E-2</v>
      </c>
      <c r="N2822" s="1475">
        <v>1.8659755724433482</v>
      </c>
      <c r="O2822" s="1475"/>
    </row>
    <row r="2823" spans="11:15">
      <c r="K2823" s="1472">
        <v>44880</v>
      </c>
      <c r="L2823" s="1473"/>
      <c r="M2823" s="1474">
        <v>0</v>
      </c>
      <c r="N2823" s="1475">
        <v>1.8659755724433482</v>
      </c>
      <c r="O2823" s="1475"/>
    </row>
    <row r="2824" spans="11:15">
      <c r="K2824" s="1472">
        <v>44881</v>
      </c>
      <c r="L2824" s="1473" t="s">
        <v>2127</v>
      </c>
      <c r="M2824" s="1474">
        <v>5.0788E-2</v>
      </c>
      <c r="N2824" s="1475">
        <v>1.8669232641170808</v>
      </c>
      <c r="O2824" s="1475"/>
    </row>
    <row r="2825" spans="11:15">
      <c r="K2825" s="1472">
        <v>44882</v>
      </c>
      <c r="L2825" s="1473" t="s">
        <v>2127</v>
      </c>
      <c r="M2825" s="1474">
        <v>5.0788E-2</v>
      </c>
      <c r="N2825" s="1475">
        <v>1.8678714371044605</v>
      </c>
      <c r="O2825" s="1475"/>
    </row>
    <row r="2826" spans="11:15">
      <c r="K2826" s="1472">
        <v>44883</v>
      </c>
      <c r="L2826" s="1473" t="s">
        <v>2127</v>
      </c>
      <c r="M2826" s="1474">
        <v>5.0788E-2</v>
      </c>
      <c r="N2826" s="1475">
        <v>1.8688200916499371</v>
      </c>
      <c r="O2826" s="1475"/>
    </row>
    <row r="2827" spans="11:15">
      <c r="K2827" s="1472">
        <v>44884</v>
      </c>
      <c r="L2827" s="1473"/>
      <c r="M2827" s="1474">
        <v>0</v>
      </c>
      <c r="N2827" s="1475">
        <v>1.8688200916499371</v>
      </c>
      <c r="O2827" s="1475"/>
    </row>
    <row r="2828" spans="11:15">
      <c r="K2828" s="1472">
        <v>44885</v>
      </c>
      <c r="L2828" s="1473"/>
      <c r="M2828" s="1474">
        <v>0</v>
      </c>
      <c r="N2828" s="1475">
        <v>1.8688200916499371</v>
      </c>
      <c r="O2828" s="1475"/>
    </row>
    <row r="2829" spans="11:15">
      <c r="K2829" s="1472">
        <v>44886</v>
      </c>
      <c r="L2829" s="1473" t="s">
        <v>2127</v>
      </c>
      <c r="M2829" s="1474">
        <v>5.0788E-2</v>
      </c>
      <c r="N2829" s="1475">
        <v>1.8697692279980844</v>
      </c>
      <c r="O2829" s="1475"/>
    </row>
    <row r="2830" spans="11:15">
      <c r="K2830" s="1472">
        <v>44887</v>
      </c>
      <c r="L2830" s="1473" t="s">
        <v>2127</v>
      </c>
      <c r="M2830" s="1474">
        <v>5.0788E-2</v>
      </c>
      <c r="N2830" s="1475">
        <v>1.8707188463936002</v>
      </c>
      <c r="O2830" s="1475"/>
    </row>
    <row r="2831" spans="11:15">
      <c r="K2831" s="1472">
        <v>44888</v>
      </c>
      <c r="L2831" s="1473" t="s">
        <v>2127</v>
      </c>
      <c r="M2831" s="1474">
        <v>5.0788E-2</v>
      </c>
      <c r="N2831" s="1475">
        <v>1.8716689470813066</v>
      </c>
      <c r="O2831" s="1475"/>
    </row>
    <row r="2832" spans="11:15">
      <c r="K2832" s="1472">
        <v>44889</v>
      </c>
      <c r="L2832" s="1473" t="s">
        <v>2127</v>
      </c>
      <c r="M2832" s="1474">
        <v>5.0788E-2</v>
      </c>
      <c r="N2832" s="1475">
        <v>1.8726195303061504</v>
      </c>
      <c r="O2832" s="1475"/>
    </row>
    <row r="2833" spans="11:15">
      <c r="K2833" s="1472">
        <v>44890</v>
      </c>
      <c r="L2833" s="1473" t="s">
        <v>2127</v>
      </c>
      <c r="M2833" s="1474">
        <v>5.0788E-2</v>
      </c>
      <c r="N2833" s="1475">
        <v>1.8735705963132023</v>
      </c>
      <c r="O2833" s="1475"/>
    </row>
    <row r="2834" spans="11:15">
      <c r="K2834" s="1472">
        <v>44891</v>
      </c>
      <c r="L2834" s="1473"/>
      <c r="M2834" s="1474">
        <v>0</v>
      </c>
      <c r="N2834" s="1475">
        <v>1.8735705963132023</v>
      </c>
      <c r="O2834" s="1475"/>
    </row>
    <row r="2835" spans="11:15">
      <c r="K2835" s="1472">
        <v>44892</v>
      </c>
      <c r="L2835" s="1473"/>
      <c r="M2835" s="1474">
        <v>0</v>
      </c>
      <c r="N2835" s="1475">
        <v>1.8735705963132023</v>
      </c>
      <c r="O2835" s="1475"/>
    </row>
    <row r="2836" spans="11:15">
      <c r="K2836" s="1472">
        <v>44893</v>
      </c>
      <c r="L2836" s="1473" t="s">
        <v>2127</v>
      </c>
      <c r="M2836" s="1474">
        <v>5.0788E-2</v>
      </c>
      <c r="N2836" s="1475">
        <v>1.8745221453476579</v>
      </c>
      <c r="O2836" s="1475"/>
    </row>
    <row r="2837" spans="11:15">
      <c r="K2837" s="1472">
        <v>44894</v>
      </c>
      <c r="L2837" s="1473" t="s">
        <v>2127</v>
      </c>
      <c r="M2837" s="1474">
        <v>5.0788E-2</v>
      </c>
      <c r="N2837" s="1475">
        <v>1.8754741776548371</v>
      </c>
      <c r="O2837" s="1475"/>
    </row>
    <row r="2838" spans="11:15">
      <c r="K2838" s="1472">
        <v>44895</v>
      </c>
      <c r="L2838" s="1473" t="s">
        <v>2127</v>
      </c>
      <c r="M2838" s="1474">
        <v>5.0788E-2</v>
      </c>
      <c r="N2838" s="1475">
        <v>1.8764266934801845</v>
      </c>
      <c r="O2838" s="1475"/>
    </row>
    <row r="2839" spans="11:15">
      <c r="K2839" s="1472">
        <v>44896</v>
      </c>
      <c r="L2839" s="1473" t="s">
        <v>2127</v>
      </c>
      <c r="M2839" s="1474">
        <v>5.0788E-2</v>
      </c>
      <c r="N2839" s="1475">
        <v>1.8773796930692692</v>
      </c>
      <c r="O2839" s="1475"/>
    </row>
    <row r="2840" spans="11:15">
      <c r="K2840" s="1472">
        <v>44897</v>
      </c>
      <c r="L2840" s="1473" t="s">
        <v>2127</v>
      </c>
      <c r="M2840" s="1474">
        <v>5.0788E-2</v>
      </c>
      <c r="N2840" s="1475">
        <v>1.8783331766677853</v>
      </c>
      <c r="O2840" s="1475"/>
    </row>
    <row r="2841" spans="11:15">
      <c r="K2841" s="1472">
        <v>44898</v>
      </c>
      <c r="L2841" s="1473"/>
      <c r="M2841" s="1474">
        <v>0</v>
      </c>
      <c r="N2841" s="1475">
        <v>1.8783331766677853</v>
      </c>
      <c r="O2841" s="1475"/>
    </row>
    <row r="2842" spans="11:15">
      <c r="K2842" s="1472">
        <v>44899</v>
      </c>
      <c r="L2842" s="1473"/>
      <c r="M2842" s="1474">
        <v>0</v>
      </c>
      <c r="N2842" s="1475">
        <v>1.8783331766677853</v>
      </c>
      <c r="O2842" s="1475"/>
    </row>
    <row r="2843" spans="11:15">
      <c r="K2843" s="1472">
        <v>44900</v>
      </c>
      <c r="L2843" s="1473" t="s">
        <v>2127</v>
      </c>
      <c r="M2843" s="1474">
        <v>5.0788E-2</v>
      </c>
      <c r="N2843" s="1475">
        <v>1.8792871445215513</v>
      </c>
      <c r="O2843" s="1475"/>
    </row>
    <row r="2844" spans="11:15">
      <c r="K2844" s="1472">
        <v>44901</v>
      </c>
      <c r="L2844" s="1473" t="s">
        <v>2127</v>
      </c>
      <c r="M2844" s="1474">
        <v>5.0788E-2</v>
      </c>
      <c r="N2844" s="1475">
        <v>1.8802415968765109</v>
      </c>
      <c r="O2844" s="1475"/>
    </row>
    <row r="2845" spans="11:15">
      <c r="K2845" s="1472">
        <v>44902</v>
      </c>
      <c r="L2845" s="1473" t="s">
        <v>2127</v>
      </c>
      <c r="M2845" s="1474">
        <v>5.0788E-2</v>
      </c>
      <c r="N2845" s="1475">
        <v>1.8811965339787327</v>
      </c>
      <c r="O2845" s="1475"/>
    </row>
    <row r="2846" spans="11:15">
      <c r="K2846" s="1472">
        <v>44903</v>
      </c>
      <c r="L2846" s="1473" t="s">
        <v>2127</v>
      </c>
      <c r="M2846" s="1474">
        <v>5.0788E-2</v>
      </c>
      <c r="N2846" s="1475">
        <v>1.8821519560744098</v>
      </c>
      <c r="O2846" s="1475"/>
    </row>
    <row r="2847" spans="11:15">
      <c r="K2847" s="1472">
        <v>44904</v>
      </c>
      <c r="L2847" s="1473" t="s">
        <v>2127</v>
      </c>
      <c r="M2847" s="1474">
        <v>5.0788E-2</v>
      </c>
      <c r="N2847" s="1475">
        <v>1.8831078634098608</v>
      </c>
      <c r="O2847" s="1475"/>
    </row>
    <row r="2848" spans="11:15">
      <c r="K2848" s="1472">
        <v>44905</v>
      </c>
      <c r="L2848" s="1473"/>
      <c r="M2848" s="1474">
        <v>0</v>
      </c>
      <c r="N2848" s="1475">
        <v>1.8831078634098608</v>
      </c>
      <c r="O2848" s="1475"/>
    </row>
    <row r="2849" spans="11:15">
      <c r="K2849" s="1472">
        <v>44906</v>
      </c>
      <c r="L2849" s="1473"/>
      <c r="M2849" s="1474">
        <v>0</v>
      </c>
      <c r="N2849" s="1475">
        <v>1.8831078634098608</v>
      </c>
      <c r="O2849" s="1475"/>
    </row>
    <row r="2850" spans="11:15">
      <c r="K2850" s="1472">
        <v>44907</v>
      </c>
      <c r="L2850" s="1473" t="s">
        <v>2127</v>
      </c>
      <c r="M2850" s="1474">
        <v>5.0788E-2</v>
      </c>
      <c r="N2850" s="1475">
        <v>1.8840642562315295</v>
      </c>
      <c r="O2850" s="1475"/>
    </row>
    <row r="2851" spans="11:15">
      <c r="K2851" s="1472">
        <v>44908</v>
      </c>
      <c r="L2851" s="1473" t="s">
        <v>2127</v>
      </c>
      <c r="M2851" s="1474">
        <v>5.0788E-2</v>
      </c>
      <c r="N2851" s="1475">
        <v>1.8850211347859844</v>
      </c>
      <c r="O2851" s="1475"/>
    </row>
    <row r="2852" spans="11:15">
      <c r="K2852" s="1472">
        <v>44909</v>
      </c>
      <c r="L2852" s="1473" t="s">
        <v>2127</v>
      </c>
      <c r="M2852" s="1474">
        <v>5.0788E-2</v>
      </c>
      <c r="N2852" s="1475">
        <v>1.8859784993199196</v>
      </c>
      <c r="O2852" s="1475"/>
    </row>
    <row r="2853" spans="11:15">
      <c r="K2853" s="1472">
        <v>44910</v>
      </c>
      <c r="L2853" s="1473" t="s">
        <v>2127</v>
      </c>
      <c r="M2853" s="1474">
        <v>5.0788E-2</v>
      </c>
      <c r="N2853" s="1475">
        <v>1.8869363500801541</v>
      </c>
      <c r="O2853" s="1475"/>
    </row>
    <row r="2854" spans="11:15">
      <c r="K2854" s="1472">
        <v>44911</v>
      </c>
      <c r="L2854" s="1473" t="s">
        <v>2127</v>
      </c>
      <c r="M2854" s="1474">
        <v>5.0788E-2</v>
      </c>
      <c r="N2854" s="1475">
        <v>1.8878946873136329</v>
      </c>
      <c r="O2854" s="1475"/>
    </row>
    <row r="2855" spans="11:15">
      <c r="K2855" s="1472">
        <v>44912</v>
      </c>
      <c r="L2855" s="1473"/>
      <c r="M2855" s="1474">
        <v>0</v>
      </c>
      <c r="N2855" s="1475">
        <v>1.8878946873136329</v>
      </c>
      <c r="O2855" s="1475"/>
    </row>
    <row r="2856" spans="11:15">
      <c r="K2856" s="1472">
        <v>44913</v>
      </c>
      <c r="L2856" s="1473"/>
      <c r="M2856" s="1474">
        <v>0</v>
      </c>
      <c r="N2856" s="1475">
        <v>1.8878946873136329</v>
      </c>
      <c r="O2856" s="1475"/>
    </row>
    <row r="2857" spans="11:15">
      <c r="K2857" s="1472">
        <v>44914</v>
      </c>
      <c r="L2857" s="1473" t="s">
        <v>2127</v>
      </c>
      <c r="M2857" s="1474">
        <v>5.0788E-2</v>
      </c>
      <c r="N2857" s="1475">
        <v>1.8888535112674258</v>
      </c>
      <c r="O2857" s="1475"/>
    </row>
    <row r="2858" spans="11:15">
      <c r="K2858" s="1472">
        <v>44915</v>
      </c>
      <c r="L2858" s="1473" t="s">
        <v>2127</v>
      </c>
      <c r="M2858" s="1474">
        <v>5.0788E-2</v>
      </c>
      <c r="N2858" s="1475">
        <v>1.8898128221887285</v>
      </c>
      <c r="O2858" s="1475"/>
    </row>
    <row r="2859" spans="11:15">
      <c r="K2859" s="1472">
        <v>44916</v>
      </c>
      <c r="L2859" s="1473" t="s">
        <v>2127</v>
      </c>
      <c r="M2859" s="1474">
        <v>5.0788E-2</v>
      </c>
      <c r="N2859" s="1475">
        <v>1.8907726203248618</v>
      </c>
      <c r="O2859" s="1475"/>
    </row>
    <row r="2860" spans="11:15">
      <c r="K2860" s="1472">
        <v>44917</v>
      </c>
      <c r="L2860" s="1473" t="s">
        <v>2127</v>
      </c>
      <c r="M2860" s="1474">
        <v>5.0788E-2</v>
      </c>
      <c r="N2860" s="1475">
        <v>1.8917329059232724</v>
      </c>
      <c r="O2860" s="1475"/>
    </row>
    <row r="2861" spans="11:15">
      <c r="K2861" s="1472">
        <v>44918</v>
      </c>
      <c r="L2861" s="1473" t="s">
        <v>2127</v>
      </c>
      <c r="M2861" s="1474">
        <v>5.0788E-2</v>
      </c>
      <c r="N2861" s="1475">
        <v>1.8926936792315328</v>
      </c>
      <c r="O2861" s="1475"/>
    </row>
    <row r="2862" spans="11:15">
      <c r="K2862" s="1472">
        <v>44919</v>
      </c>
      <c r="L2862" s="1473"/>
      <c r="M2862" s="1474">
        <v>0</v>
      </c>
      <c r="N2862" s="1475">
        <v>1.8926936792315328</v>
      </c>
      <c r="O2862" s="1475"/>
    </row>
    <row r="2863" spans="11:15">
      <c r="K2863" s="1472">
        <v>44920</v>
      </c>
      <c r="L2863" s="1473"/>
      <c r="M2863" s="1474">
        <v>0</v>
      </c>
      <c r="N2863" s="1475">
        <v>1.8926936792315328</v>
      </c>
      <c r="O2863" s="1475"/>
    </row>
    <row r="2864" spans="11:15">
      <c r="K2864" s="1472">
        <v>44921</v>
      </c>
      <c r="L2864" s="1473" t="s">
        <v>2127</v>
      </c>
      <c r="M2864" s="1474">
        <v>5.0788E-2</v>
      </c>
      <c r="N2864" s="1475">
        <v>1.8936549404973408</v>
      </c>
      <c r="O2864" s="1475"/>
    </row>
    <row r="2865" spans="11:15">
      <c r="K2865" s="1472">
        <v>44922</v>
      </c>
      <c r="L2865" s="1473" t="s">
        <v>2127</v>
      </c>
      <c r="M2865" s="1474">
        <v>5.0788E-2</v>
      </c>
      <c r="N2865" s="1475">
        <v>1.8946166899685206</v>
      </c>
      <c r="O2865" s="1475"/>
    </row>
    <row r="2866" spans="11:15">
      <c r="K2866" s="1472">
        <v>44923</v>
      </c>
      <c r="L2866" s="1473" t="s">
        <v>2127</v>
      </c>
      <c r="M2866" s="1474">
        <v>5.0788E-2</v>
      </c>
      <c r="N2866" s="1475">
        <v>1.895578927893022</v>
      </c>
      <c r="O2866" s="1475"/>
    </row>
    <row r="2867" spans="11:15">
      <c r="K2867" s="1472">
        <v>44924</v>
      </c>
      <c r="L2867" s="1473" t="s">
        <v>2127</v>
      </c>
      <c r="M2867" s="1474">
        <v>5.0788E-2</v>
      </c>
      <c r="N2867" s="1475">
        <v>1.8965416545189202</v>
      </c>
      <c r="O2867" s="1475"/>
    </row>
    <row r="2868" spans="11:15">
      <c r="K2868" s="1472">
        <v>44925</v>
      </c>
      <c r="L2868" s="1473" t="s">
        <v>2127</v>
      </c>
      <c r="M2868" s="1474">
        <v>5.0788E-2</v>
      </c>
      <c r="N2868" s="1475">
        <v>1.8975048700944173</v>
      </c>
      <c r="O2868" s="1475"/>
    </row>
    <row r="2869" spans="11:15">
      <c r="K2869" s="1472">
        <v>44926</v>
      </c>
      <c r="L2869" s="1473"/>
      <c r="M2869" s="1474">
        <v>0</v>
      </c>
      <c r="N2869" s="1475">
        <v>1.8975048700944173</v>
      </c>
      <c r="O2869" s="1475"/>
    </row>
    <row r="2870" spans="11:15">
      <c r="K2870" s="1472">
        <v>44927</v>
      </c>
      <c r="L2870" s="1473"/>
      <c r="M2870" s="1474">
        <v>0</v>
      </c>
      <c r="N2870" s="1475">
        <v>1.8975048700944173</v>
      </c>
      <c r="O2870" s="1475"/>
    </row>
    <row r="2871" spans="11:15">
      <c r="K2871" s="1472">
        <v>44928</v>
      </c>
      <c r="L2871" s="1473" t="s">
        <v>2127</v>
      </c>
      <c r="M2871" s="1474">
        <v>5.0788E-2</v>
      </c>
      <c r="N2871" s="1475">
        <v>1.8984685748678409</v>
      </c>
      <c r="O2871" s="1475"/>
    </row>
    <row r="2872" spans="11:15">
      <c r="K2872" s="1472">
        <v>44929</v>
      </c>
      <c r="L2872" s="1473" t="s">
        <v>2127</v>
      </c>
      <c r="M2872" s="1474">
        <v>5.0788E-2</v>
      </c>
      <c r="N2872" s="1475">
        <v>1.8994327690876449</v>
      </c>
      <c r="O2872" s="1475"/>
    </row>
    <row r="2873" spans="11:15">
      <c r="K2873" s="1472">
        <v>44930</v>
      </c>
      <c r="L2873" s="1473" t="s">
        <v>2127</v>
      </c>
      <c r="M2873" s="1474">
        <v>5.0788E-2</v>
      </c>
      <c r="N2873" s="1475">
        <v>1.9003974530024093</v>
      </c>
      <c r="O2873" s="1475"/>
    </row>
    <row r="2874" spans="11:15">
      <c r="K2874" s="1472">
        <v>44931</v>
      </c>
      <c r="L2874" s="1473" t="s">
        <v>2127</v>
      </c>
      <c r="M2874" s="1474">
        <v>5.0788E-2</v>
      </c>
      <c r="N2874" s="1475">
        <v>1.9013626268608401</v>
      </c>
      <c r="O2874" s="1475"/>
    </row>
    <row r="2875" spans="11:15">
      <c r="K2875" s="1472">
        <v>44932</v>
      </c>
      <c r="L2875" s="1473" t="s">
        <v>2127</v>
      </c>
      <c r="M2875" s="1474">
        <v>5.0788E-2</v>
      </c>
      <c r="N2875" s="1475">
        <v>1.9023282909117702</v>
      </c>
      <c r="O2875" s="1475"/>
    </row>
    <row r="2876" spans="11:15">
      <c r="K2876" s="1472">
        <v>44933</v>
      </c>
      <c r="L2876" s="1473"/>
      <c r="M2876" s="1474">
        <v>0</v>
      </c>
      <c r="N2876" s="1475">
        <v>1.9023282909117702</v>
      </c>
      <c r="O2876" s="1475"/>
    </row>
    <row r="2877" spans="11:15">
      <c r="K2877" s="1472">
        <v>44934</v>
      </c>
      <c r="L2877" s="1473"/>
      <c r="M2877" s="1474">
        <v>0</v>
      </c>
      <c r="N2877" s="1475">
        <v>1.9023282909117702</v>
      </c>
      <c r="O2877" s="1475"/>
    </row>
    <row r="2878" spans="11:15">
      <c r="K2878" s="1472">
        <v>44935</v>
      </c>
      <c r="L2878" s="1473" t="s">
        <v>2127</v>
      </c>
      <c r="M2878" s="1474">
        <v>5.0788E-2</v>
      </c>
      <c r="N2878" s="1475">
        <v>1.9032944454041585</v>
      </c>
      <c r="O2878" s="1475"/>
    </row>
    <row r="2879" spans="11:15">
      <c r="K2879" s="1472">
        <v>44936</v>
      </c>
      <c r="L2879" s="1473" t="s">
        <v>2127</v>
      </c>
      <c r="M2879" s="1474">
        <v>5.0788E-2</v>
      </c>
      <c r="N2879" s="1475">
        <v>1.9042610905870905</v>
      </c>
      <c r="O2879" s="1475"/>
    </row>
    <row r="2880" spans="11:15">
      <c r="K2880" s="1472">
        <v>44937</v>
      </c>
      <c r="L2880" s="1473" t="s">
        <v>2127</v>
      </c>
      <c r="M2880" s="1474">
        <v>5.0788E-2</v>
      </c>
      <c r="N2880" s="1475">
        <v>1.905228226709778</v>
      </c>
      <c r="O2880" s="1475"/>
    </row>
    <row r="2881" spans="11:15">
      <c r="K2881" s="1472">
        <v>44938</v>
      </c>
      <c r="L2881" s="1473" t="s">
        <v>2127</v>
      </c>
      <c r="M2881" s="1474">
        <v>5.0788E-2</v>
      </c>
      <c r="N2881" s="1475">
        <v>1.9061958540215593</v>
      </c>
      <c r="O2881" s="1475"/>
    </row>
    <row r="2882" spans="11:15">
      <c r="K2882" s="1472">
        <v>44939</v>
      </c>
      <c r="L2882" s="1473" t="s">
        <v>2127</v>
      </c>
      <c r="M2882" s="1474">
        <v>5.0788E-2</v>
      </c>
      <c r="N2882" s="1475">
        <v>1.9071639727718999</v>
      </c>
      <c r="O2882" s="1475"/>
    </row>
    <row r="2883" spans="11:15">
      <c r="K2883" s="1472">
        <v>44940</v>
      </c>
      <c r="L2883" s="1473"/>
      <c r="M2883" s="1474">
        <v>0</v>
      </c>
      <c r="N2883" s="1475">
        <v>1.9071639727718999</v>
      </c>
      <c r="O2883" s="1475"/>
    </row>
    <row r="2884" spans="11:15">
      <c r="K2884" s="1472">
        <v>44941</v>
      </c>
      <c r="L2884" s="1473"/>
      <c r="M2884" s="1474">
        <v>0</v>
      </c>
      <c r="N2884" s="1475">
        <v>1.9071639727718999</v>
      </c>
      <c r="O2884" s="1475"/>
    </row>
    <row r="2885" spans="11:15">
      <c r="K2885" s="1472">
        <v>44942</v>
      </c>
      <c r="L2885" s="1473" t="s">
        <v>2127</v>
      </c>
      <c r="M2885" s="1474">
        <v>5.0788E-2</v>
      </c>
      <c r="N2885" s="1475">
        <v>1.9081325832103913</v>
      </c>
      <c r="O2885" s="1475"/>
    </row>
    <row r="2886" spans="11:15">
      <c r="K2886" s="1472">
        <v>44943</v>
      </c>
      <c r="L2886" s="1473" t="s">
        <v>2127</v>
      </c>
      <c r="M2886" s="1474">
        <v>5.0788E-2</v>
      </c>
      <c r="N2886" s="1475">
        <v>1.9091016855867522</v>
      </c>
      <c r="O2886" s="1475"/>
    </row>
    <row r="2887" spans="11:15">
      <c r="K2887" s="1472">
        <v>44944</v>
      </c>
      <c r="L2887" s="1473" t="s">
        <v>2127</v>
      </c>
      <c r="M2887" s="1474">
        <v>5.0788E-2</v>
      </c>
      <c r="N2887" s="1475">
        <v>1.9100712801508279</v>
      </c>
      <c r="O2887" s="1475"/>
    </row>
    <row r="2888" spans="11:15">
      <c r="K2888" s="1472">
        <v>44945</v>
      </c>
      <c r="L2888" s="1473" t="s">
        <v>2127</v>
      </c>
      <c r="M2888" s="1474">
        <v>5.0788E-2</v>
      </c>
      <c r="N2888" s="1475">
        <v>1.911041367152591</v>
      </c>
      <c r="O2888" s="1475"/>
    </row>
    <row r="2889" spans="11:15">
      <c r="K2889" s="1472">
        <v>44946</v>
      </c>
      <c r="L2889" s="1473" t="s">
        <v>2127</v>
      </c>
      <c r="M2889" s="1474">
        <v>5.0788E-2</v>
      </c>
      <c r="N2889" s="1475">
        <v>1.9120119468421404</v>
      </c>
      <c r="O2889" s="1475"/>
    </row>
    <row r="2890" spans="11:15">
      <c r="K2890" s="1472">
        <v>44947</v>
      </c>
      <c r="L2890" s="1473"/>
      <c r="M2890" s="1474">
        <v>0</v>
      </c>
      <c r="N2890" s="1475">
        <v>1.9120119468421404</v>
      </c>
      <c r="O2890" s="1475"/>
    </row>
    <row r="2891" spans="11:15">
      <c r="K2891" s="1472">
        <v>44948</v>
      </c>
      <c r="L2891" s="1473"/>
      <c r="M2891" s="1474">
        <v>0</v>
      </c>
      <c r="N2891" s="1475">
        <v>1.9120119468421404</v>
      </c>
      <c r="O2891" s="1475"/>
    </row>
    <row r="2892" spans="11:15">
      <c r="K2892" s="1472">
        <v>44949</v>
      </c>
      <c r="L2892" s="1473" t="s">
        <v>2127</v>
      </c>
      <c r="M2892" s="1474">
        <v>5.0788E-2</v>
      </c>
      <c r="N2892" s="1475">
        <v>1.9129830194697026</v>
      </c>
      <c r="O2892" s="1475"/>
    </row>
    <row r="2893" spans="11:15">
      <c r="K2893" s="1472">
        <v>44950</v>
      </c>
      <c r="L2893" s="1473" t="s">
        <v>2127</v>
      </c>
      <c r="M2893" s="1474">
        <v>5.0788E-2</v>
      </c>
      <c r="N2893" s="1475">
        <v>1.913954585285631</v>
      </c>
      <c r="O2893" s="1475"/>
    </row>
    <row r="2894" spans="11:15">
      <c r="K2894" s="1472">
        <v>44951</v>
      </c>
      <c r="L2894" s="1473" t="s">
        <v>2127</v>
      </c>
      <c r="M2894" s="1474">
        <v>5.0788E-2</v>
      </c>
      <c r="N2894" s="1475">
        <v>1.9149266445404058</v>
      </c>
      <c r="O2894" s="1475"/>
    </row>
    <row r="2895" spans="11:15">
      <c r="K2895" s="1472">
        <v>44952</v>
      </c>
      <c r="L2895" s="1473" t="s">
        <v>2127</v>
      </c>
      <c r="M2895" s="1474">
        <v>5.0788E-2</v>
      </c>
      <c r="N2895" s="1475">
        <v>1.9158991974846351</v>
      </c>
      <c r="O2895" s="1475"/>
    </row>
    <row r="2896" spans="11:15">
      <c r="K2896" s="1472">
        <v>44953</v>
      </c>
      <c r="L2896" s="1473" t="s">
        <v>2127</v>
      </c>
      <c r="M2896" s="1474">
        <v>5.0788E-2</v>
      </c>
      <c r="N2896" s="1475">
        <v>1.9168722443690536</v>
      </c>
      <c r="O2896" s="1475"/>
    </row>
    <row r="2897" spans="11:15">
      <c r="K2897" s="1472">
        <v>44954</v>
      </c>
      <c r="L2897" s="1473"/>
      <c r="M2897" s="1474">
        <v>0</v>
      </c>
      <c r="N2897" s="1475">
        <v>1.9168722443690536</v>
      </c>
      <c r="O2897" s="1475"/>
    </row>
    <row r="2898" spans="11:15">
      <c r="K2898" s="1472">
        <v>44955</v>
      </c>
      <c r="L2898" s="1473"/>
      <c r="M2898" s="1474">
        <v>0</v>
      </c>
      <c r="N2898" s="1475">
        <v>1.9168722443690536</v>
      </c>
      <c r="O2898" s="1475"/>
    </row>
    <row r="2899" spans="11:15">
      <c r="K2899" s="1472">
        <v>44956</v>
      </c>
      <c r="L2899" s="1473" t="s">
        <v>2127</v>
      </c>
      <c r="M2899" s="1474">
        <v>5.0788E-2</v>
      </c>
      <c r="N2899" s="1475">
        <v>1.9178457854445237</v>
      </c>
      <c r="O2899" s="1475"/>
    </row>
    <row r="2900" spans="11:15">
      <c r="K2900" s="1472">
        <v>44957</v>
      </c>
      <c r="L2900" s="1473" t="s">
        <v>2127</v>
      </c>
      <c r="M2900" s="1474">
        <v>5.0788E-2</v>
      </c>
      <c r="N2900" s="1475">
        <v>1.9188198209620353</v>
      </c>
      <c r="O2900" s="1475"/>
    </row>
    <row r="2901" spans="11:15">
      <c r="K2901" s="1472">
        <v>44958</v>
      </c>
      <c r="L2901" s="1473" t="s">
        <v>2127</v>
      </c>
      <c r="M2901" s="1474">
        <v>5.0788E-2</v>
      </c>
      <c r="N2901" s="1475">
        <v>1.9197943511727056</v>
      </c>
      <c r="O2901" s="1475"/>
    </row>
    <row r="2902" spans="11:15">
      <c r="K2902" s="1472">
        <v>44959</v>
      </c>
      <c r="L2902" s="1473" t="s">
        <v>2127</v>
      </c>
      <c r="M2902" s="1474">
        <v>5.0788E-2</v>
      </c>
      <c r="N2902" s="1475">
        <v>1.9207693763277791</v>
      </c>
      <c r="O2902" s="1475"/>
    </row>
    <row r="2903" spans="11:15">
      <c r="K2903" s="1472">
        <v>44960</v>
      </c>
      <c r="L2903" s="1473" t="s">
        <v>2127</v>
      </c>
      <c r="M2903" s="1474">
        <v>5.0788E-2</v>
      </c>
      <c r="N2903" s="1475">
        <v>1.9217448966786286</v>
      </c>
      <c r="O2903" s="1475"/>
    </row>
    <row r="2904" spans="11:15">
      <c r="K2904" s="1472">
        <v>44961</v>
      </c>
      <c r="L2904" s="1473"/>
      <c r="M2904" s="1474">
        <v>0</v>
      </c>
      <c r="N2904" s="1475">
        <v>1.9217448966786286</v>
      </c>
      <c r="O2904" s="1475"/>
    </row>
    <row r="2905" spans="11:15">
      <c r="K2905" s="1472">
        <v>44962</v>
      </c>
      <c r="L2905" s="1473"/>
      <c r="M2905" s="1474">
        <v>0</v>
      </c>
      <c r="N2905" s="1475">
        <v>1.9217448966786286</v>
      </c>
      <c r="O2905" s="1475"/>
    </row>
    <row r="2906" spans="11:15">
      <c r="K2906" s="1472">
        <v>44963</v>
      </c>
      <c r="L2906" s="1473" t="s">
        <v>2127</v>
      </c>
      <c r="M2906" s="1474">
        <v>5.0788E-2</v>
      </c>
      <c r="N2906" s="1475">
        <v>1.9227209124767537</v>
      </c>
      <c r="O2906" s="1475"/>
    </row>
    <row r="2907" spans="11:15">
      <c r="K2907" s="1472">
        <v>44964</v>
      </c>
      <c r="L2907" s="1473" t="s">
        <v>2127</v>
      </c>
      <c r="M2907" s="1474">
        <v>5.0788E-2</v>
      </c>
      <c r="N2907" s="1475">
        <v>1.9236974239737825</v>
      </c>
      <c r="O2907" s="1475"/>
    </row>
    <row r="2908" spans="11:15">
      <c r="K2908" s="1472">
        <v>44965</v>
      </c>
      <c r="L2908" s="1473" t="s">
        <v>2127</v>
      </c>
      <c r="M2908" s="1474">
        <v>5.0788E-2</v>
      </c>
      <c r="N2908" s="1475">
        <v>1.9246744314214703</v>
      </c>
      <c r="O2908" s="1475"/>
    </row>
    <row r="2909" spans="11:15">
      <c r="K2909" s="1472">
        <v>44966</v>
      </c>
      <c r="L2909" s="1473" t="s">
        <v>2127</v>
      </c>
      <c r="M2909" s="1474">
        <v>5.0788E-2</v>
      </c>
      <c r="N2909" s="1475">
        <v>1.9256519350717007</v>
      </c>
      <c r="O2909" s="1475"/>
    </row>
    <row r="2910" spans="11:15">
      <c r="K2910" s="1472">
        <v>44967</v>
      </c>
      <c r="L2910" s="1473" t="s">
        <v>2127</v>
      </c>
      <c r="M2910" s="1474">
        <v>5.0788E-2</v>
      </c>
      <c r="N2910" s="1475">
        <v>1.9266299351764851</v>
      </c>
      <c r="O2910" s="1475"/>
    </row>
    <row r="2911" spans="11:15">
      <c r="K2911" s="1472">
        <v>44968</v>
      </c>
      <c r="L2911" s="1473"/>
      <c r="M2911" s="1474">
        <v>0</v>
      </c>
      <c r="N2911" s="1475">
        <v>1.9266299351764851</v>
      </c>
      <c r="O2911" s="1475"/>
    </row>
    <row r="2912" spans="11:15">
      <c r="K2912" s="1472">
        <v>44969</v>
      </c>
      <c r="L2912" s="1473"/>
      <c r="M2912" s="1474">
        <v>0</v>
      </c>
      <c r="N2912" s="1475">
        <v>1.9266299351764851</v>
      </c>
      <c r="O2912" s="1475"/>
    </row>
    <row r="2913" spans="11:15">
      <c r="K2913" s="1472">
        <v>44970</v>
      </c>
      <c r="L2913" s="1473" t="s">
        <v>2127</v>
      </c>
      <c r="M2913" s="1474">
        <v>5.0788E-2</v>
      </c>
      <c r="N2913" s="1475">
        <v>1.9276084319879625</v>
      </c>
      <c r="O2913" s="1475"/>
    </row>
    <row r="2914" spans="11:15">
      <c r="K2914" s="1472">
        <v>44971</v>
      </c>
      <c r="L2914" s="1473" t="s">
        <v>2127</v>
      </c>
      <c r="M2914" s="1474">
        <v>5.0788E-2</v>
      </c>
      <c r="N2914" s="1475">
        <v>1.9285874257584006</v>
      </c>
      <c r="O2914" s="1475"/>
    </row>
    <row r="2915" spans="11:15">
      <c r="K2915" s="1472">
        <v>44972</v>
      </c>
      <c r="L2915" s="1473" t="s">
        <v>2127</v>
      </c>
      <c r="M2915" s="1474">
        <v>5.0788E-2</v>
      </c>
      <c r="N2915" s="1475">
        <v>1.9295669167401948</v>
      </c>
      <c r="O2915" s="1475"/>
    </row>
    <row r="2916" spans="11:15">
      <c r="K2916" s="1472">
        <v>44973</v>
      </c>
      <c r="L2916" s="1473" t="s">
        <v>2127</v>
      </c>
      <c r="M2916" s="1474">
        <v>5.0788E-2</v>
      </c>
      <c r="N2916" s="1475">
        <v>1.9305469051858688</v>
      </c>
      <c r="O2916" s="1475"/>
    </row>
    <row r="2917" spans="11:15">
      <c r="K2917" s="1472">
        <v>44974</v>
      </c>
      <c r="L2917" s="1473" t="s">
        <v>2127</v>
      </c>
      <c r="M2917" s="1474">
        <v>5.0788E-2</v>
      </c>
      <c r="N2917" s="1475">
        <v>1.9315273913480746</v>
      </c>
      <c r="O2917" s="1475"/>
    </row>
    <row r="2918" spans="11:15">
      <c r="K2918" s="1472">
        <v>44975</v>
      </c>
      <c r="L2918" s="1473"/>
      <c r="M2918" s="1474">
        <v>0</v>
      </c>
      <c r="N2918" s="1475">
        <v>1.9315273913480746</v>
      </c>
      <c r="O2918" s="1475"/>
    </row>
    <row r="2919" spans="11:15">
      <c r="K2919" s="1472">
        <v>44976</v>
      </c>
      <c r="L2919" s="1473"/>
      <c r="M2919" s="1474">
        <v>0</v>
      </c>
      <c r="N2919" s="1475">
        <v>1.9315273913480746</v>
      </c>
      <c r="O2919" s="1475"/>
    </row>
    <row r="2920" spans="11:15">
      <c r="K2920" s="1472">
        <v>44977</v>
      </c>
      <c r="L2920" s="1473"/>
      <c r="M2920" s="1474">
        <v>0</v>
      </c>
      <c r="N2920" s="1475">
        <v>1.9315273913480746</v>
      </c>
      <c r="O2920" s="1475"/>
    </row>
    <row r="2921" spans="11:15">
      <c r="K2921" s="1472">
        <v>44978</v>
      </c>
      <c r="L2921" s="1473"/>
      <c r="M2921" s="1474">
        <v>0</v>
      </c>
      <c r="N2921" s="1475">
        <v>1.9315273913480746</v>
      </c>
      <c r="O2921" s="1475"/>
    </row>
    <row r="2922" spans="11:15">
      <c r="K2922" s="1472">
        <v>44979</v>
      </c>
      <c r="L2922" s="1473" t="s">
        <v>2127</v>
      </c>
      <c r="M2922" s="1474">
        <v>5.0788E-2</v>
      </c>
      <c r="N2922" s="1475">
        <v>1.9325083754795924</v>
      </c>
      <c r="O2922" s="1475"/>
    </row>
    <row r="2923" spans="11:15">
      <c r="K2923" s="1472">
        <v>44980</v>
      </c>
      <c r="L2923" s="1473" t="s">
        <v>2127</v>
      </c>
      <c r="M2923" s="1474">
        <v>5.0788E-2</v>
      </c>
      <c r="N2923" s="1475">
        <v>1.933489857833331</v>
      </c>
      <c r="O2923" s="1475"/>
    </row>
    <row r="2924" spans="11:15">
      <c r="K2924" s="1472">
        <v>44981</v>
      </c>
      <c r="L2924" s="1473" t="s">
        <v>2127</v>
      </c>
      <c r="M2924" s="1474">
        <v>5.0788E-2</v>
      </c>
      <c r="N2924" s="1475">
        <v>1.9344718386623274</v>
      </c>
      <c r="O2924" s="1475"/>
    </row>
    <row r="2925" spans="11:15">
      <c r="K2925" s="1472">
        <v>44982</v>
      </c>
      <c r="L2925" s="1473"/>
      <c r="M2925" s="1474">
        <v>0</v>
      </c>
      <c r="N2925" s="1475">
        <v>1.9344718386623274</v>
      </c>
      <c r="O2925" s="1475"/>
    </row>
    <row r="2926" spans="11:15">
      <c r="K2926" s="1472">
        <v>44983</v>
      </c>
      <c r="L2926" s="1473"/>
      <c r="M2926" s="1474">
        <v>0</v>
      </c>
      <c r="N2926" s="1475">
        <v>1.9344718386623274</v>
      </c>
      <c r="O2926" s="1475"/>
    </row>
    <row r="2927" spans="11:15">
      <c r="K2927" s="1472">
        <v>44984</v>
      </c>
      <c r="L2927" s="1473" t="s">
        <v>2127</v>
      </c>
      <c r="M2927" s="1474">
        <v>5.0788E-2</v>
      </c>
      <c r="N2927" s="1475">
        <v>1.9354543182197472</v>
      </c>
      <c r="O2927" s="1475"/>
    </row>
    <row r="2928" spans="11:15">
      <c r="K2928" s="1472">
        <v>44985</v>
      </c>
      <c r="L2928" s="1473" t="s">
        <v>2127</v>
      </c>
      <c r="M2928" s="1474">
        <v>5.0788E-2</v>
      </c>
      <c r="N2928" s="1475">
        <v>1.9364372967588848</v>
      </c>
      <c r="O2928" s="1475"/>
    </row>
    <row r="2929" spans="11:15">
      <c r="K2929" s="1472">
        <v>44986</v>
      </c>
      <c r="L2929" s="1473" t="s">
        <v>2127</v>
      </c>
      <c r="M2929" s="1474">
        <v>5.0788E-2</v>
      </c>
      <c r="N2929" s="1475">
        <v>1.9374207745331626</v>
      </c>
      <c r="O2929" s="1475"/>
    </row>
    <row r="2930" spans="11:15">
      <c r="K2930" s="1472">
        <v>44987</v>
      </c>
      <c r="L2930" s="1476" t="s">
        <v>2127</v>
      </c>
      <c r="M2930" s="851">
        <v>5.0788E-2</v>
      </c>
      <c r="N2930" s="1476">
        <v>1.9384047517961325</v>
      </c>
      <c r="O2930" s="1476"/>
    </row>
    <row r="2931" spans="11:15">
      <c r="K2931" s="1472">
        <v>44988</v>
      </c>
      <c r="L2931" s="1476" t="s">
        <v>2127</v>
      </c>
      <c r="M2931" s="851">
        <v>5.0788E-2</v>
      </c>
      <c r="N2931" s="1476">
        <v>1.9393892288014747</v>
      </c>
      <c r="O2931" s="1476"/>
    </row>
    <row r="2932" spans="11:15">
      <c r="K2932" s="1472">
        <v>44989</v>
      </c>
      <c r="L2932" s="1476"/>
      <c r="M2932" s="851">
        <v>0</v>
      </c>
      <c r="N2932" s="1476">
        <v>1.9393892288014747</v>
      </c>
      <c r="O2932" s="1476"/>
    </row>
    <row r="2933" spans="11:15">
      <c r="K2933" s="1472">
        <v>44990</v>
      </c>
      <c r="L2933" s="1476"/>
      <c r="M2933" s="851">
        <v>0</v>
      </c>
      <c r="N2933" s="1476">
        <v>1.9393892288014747</v>
      </c>
      <c r="O2933" s="1476"/>
    </row>
    <row r="2934" spans="11:15">
      <c r="K2934" s="1472">
        <v>44991</v>
      </c>
      <c r="L2934" s="1476" t="s">
        <v>2127</v>
      </c>
      <c r="M2934" s="851">
        <v>5.0788E-2</v>
      </c>
      <c r="N2934" s="1476">
        <v>1.9403742058029985</v>
      </c>
      <c r="O2934" s="1476"/>
    </row>
    <row r="2935" spans="11:15">
      <c r="K2935" s="1472">
        <v>44992</v>
      </c>
      <c r="L2935" s="1476" t="s">
        <v>2127</v>
      </c>
      <c r="M2935" s="851">
        <v>5.0788E-2</v>
      </c>
      <c r="N2935" s="1476">
        <v>1.9413596830546418</v>
      </c>
      <c r="O2935" s="1476"/>
    </row>
    <row r="2936" spans="11:15">
      <c r="K2936" s="1472">
        <v>44993</v>
      </c>
      <c r="L2936" s="1476" t="s">
        <v>2127</v>
      </c>
      <c r="M2936" s="851">
        <v>5.0788E-2</v>
      </c>
      <c r="N2936" s="1476">
        <v>1.9423456608104717</v>
      </c>
      <c r="O2936" s="1476"/>
    </row>
    <row r="2937" spans="11:15">
      <c r="K2937" s="1472">
        <v>44994</v>
      </c>
      <c r="L2937" s="1476" t="s">
        <v>2127</v>
      </c>
      <c r="M2937" s="851">
        <v>5.0788E-2</v>
      </c>
      <c r="N2937" s="1476">
        <v>1.9433321393246841</v>
      </c>
      <c r="O2937" s="1476"/>
    </row>
    <row r="2938" spans="11:15">
      <c r="K2938" s="1472">
        <v>44995</v>
      </c>
      <c r="L2938" s="1476" t="s">
        <v>2127</v>
      </c>
      <c r="M2938" s="851">
        <v>5.0788E-2</v>
      </c>
      <c r="N2938" s="1476">
        <v>1.9443191188516042</v>
      </c>
      <c r="O2938" s="1476"/>
    </row>
    <row r="2939" spans="11:15">
      <c r="K2939" s="1472">
        <v>44996</v>
      </c>
      <c r="L2939" s="1476"/>
      <c r="M2939" s="851">
        <v>0</v>
      </c>
      <c r="N2939" s="1476">
        <v>1.9443191188516042</v>
      </c>
      <c r="O2939" s="1476"/>
    </row>
    <row r="2940" spans="11:15">
      <c r="K2940" s="1472">
        <v>44997</v>
      </c>
      <c r="L2940" s="1476"/>
      <c r="M2940" s="851">
        <v>0</v>
      </c>
      <c r="N2940" s="1476">
        <v>1.9443191188516042</v>
      </c>
      <c r="O2940" s="1476"/>
    </row>
    <row r="2941" spans="11:15">
      <c r="K2941" s="1472">
        <v>44998</v>
      </c>
      <c r="L2941" s="1476" t="s">
        <v>2127</v>
      </c>
      <c r="M2941" s="851">
        <v>5.0788E-2</v>
      </c>
      <c r="N2941" s="1476">
        <v>1.9453065996456866</v>
      </c>
      <c r="O2941" s="1476"/>
    </row>
    <row r="2942" spans="11:15">
      <c r="K2942" s="1472">
        <v>44999</v>
      </c>
      <c r="L2942" s="1476" t="s">
        <v>2127</v>
      </c>
      <c r="M2942" s="851">
        <v>5.0788E-2</v>
      </c>
      <c r="N2942" s="1476">
        <v>1.9462945819615147</v>
      </c>
      <c r="O2942" s="1476"/>
    </row>
    <row r="2943" spans="11:15">
      <c r="K2943" s="1472">
        <v>45000</v>
      </c>
      <c r="L2943" s="1476" t="s">
        <v>2127</v>
      </c>
      <c r="M2943" s="851">
        <v>5.0788E-2</v>
      </c>
      <c r="N2943" s="1476">
        <v>1.9472830660538014</v>
      </c>
      <c r="O2943" s="1476"/>
    </row>
    <row r="2944" spans="11:15">
      <c r="K2944" s="1472">
        <v>45001</v>
      </c>
      <c r="L2944" s="1476" t="s">
        <v>2127</v>
      </c>
      <c r="M2944" s="851">
        <v>5.0788E-2</v>
      </c>
      <c r="N2944" s="1476">
        <v>1.9482720521773889</v>
      </c>
      <c r="O2944" s="1476"/>
    </row>
    <row r="2945" spans="11:15">
      <c r="K2945" s="1472">
        <v>45002</v>
      </c>
      <c r="L2945" s="1476" t="s">
        <v>2127</v>
      </c>
      <c r="M2945" s="851">
        <v>5.0788E-2</v>
      </c>
      <c r="N2945" s="1476">
        <v>1.9492615405872487</v>
      </c>
      <c r="O2945" s="1476"/>
    </row>
    <row r="2946" spans="11:15">
      <c r="K2946" s="1472">
        <v>45003</v>
      </c>
      <c r="L2946" s="1476"/>
      <c r="M2946" s="851">
        <v>0</v>
      </c>
      <c r="N2946" s="1476">
        <v>1.9492615405872487</v>
      </c>
      <c r="O2946" s="1476"/>
    </row>
    <row r="2947" spans="11:15">
      <c r="K2947" s="1472">
        <v>45004</v>
      </c>
      <c r="L2947" s="1476"/>
      <c r="M2947" s="851">
        <v>0</v>
      </c>
      <c r="N2947" s="1476">
        <v>1.9492615405872487</v>
      </c>
      <c r="O2947" s="1476"/>
    </row>
    <row r="2948" spans="11:15">
      <c r="K2948" s="1472">
        <v>45005</v>
      </c>
      <c r="L2948" s="1476" t="s">
        <v>2127</v>
      </c>
      <c r="M2948" s="851">
        <v>5.0788E-2</v>
      </c>
      <c r="N2948" s="1476">
        <v>1.9502515315384821</v>
      </c>
      <c r="O2948" s="1476"/>
    </row>
    <row r="2949" spans="11:15">
      <c r="K2949" s="1472">
        <v>45006</v>
      </c>
      <c r="L2949" s="1476" t="s">
        <v>2127</v>
      </c>
      <c r="M2949" s="851">
        <v>5.0788E-2</v>
      </c>
      <c r="N2949" s="1476">
        <v>1.9512420252863198</v>
      </c>
      <c r="O2949" s="1476"/>
    </row>
    <row r="2950" spans="11:15">
      <c r="K2950" s="1472">
        <v>45007</v>
      </c>
      <c r="L2950" s="1476" t="s">
        <v>2127</v>
      </c>
      <c r="M2950" s="851">
        <v>5.0788E-2</v>
      </c>
      <c r="N2950" s="1476">
        <v>1.9522330220861224</v>
      </c>
      <c r="O2950" s="1476"/>
    </row>
    <row r="2951" spans="11:15">
      <c r="K2951" s="1472">
        <v>45008</v>
      </c>
      <c r="L2951" s="1476" t="s">
        <v>2127</v>
      </c>
      <c r="M2951" s="851">
        <v>5.0788E-2</v>
      </c>
      <c r="N2951" s="1476">
        <v>1.9532245221933795</v>
      </c>
      <c r="O2951" s="1476"/>
    </row>
    <row r="2952" spans="11:15">
      <c r="K2952" s="1472">
        <v>45009</v>
      </c>
      <c r="L2952" s="1476" t="s">
        <v>2127</v>
      </c>
      <c r="M2952" s="851">
        <v>5.0788E-2</v>
      </c>
      <c r="N2952" s="1476">
        <v>1.9542165258637112</v>
      </c>
      <c r="O2952" s="1476"/>
    </row>
    <row r="2953" spans="11:15">
      <c r="K2953" s="1472">
        <v>45010</v>
      </c>
      <c r="L2953" s="1476"/>
      <c r="M2953" s="851">
        <v>0</v>
      </c>
      <c r="N2953" s="1476">
        <v>1.9542165258637112</v>
      </c>
      <c r="O2953" s="1476"/>
    </row>
    <row r="2954" spans="11:15">
      <c r="K2954" s="1472">
        <v>45011</v>
      </c>
      <c r="L2954" s="1476"/>
      <c r="M2954" s="851">
        <v>0</v>
      </c>
      <c r="N2954" s="1476">
        <v>1.9542165258637112</v>
      </c>
      <c r="O2954" s="1476"/>
    </row>
    <row r="2955" spans="11:15">
      <c r="K2955" s="1472">
        <v>45012</v>
      </c>
      <c r="L2955" s="1476" t="s">
        <v>2127</v>
      </c>
      <c r="M2955" s="851">
        <v>5.0788E-2</v>
      </c>
      <c r="N2955" s="1476">
        <v>1.9552090333528669</v>
      </c>
      <c r="O2955" s="1476"/>
    </row>
    <row r="2956" spans="11:15">
      <c r="K2956" s="1472">
        <v>45013</v>
      </c>
      <c r="L2956" s="1476" t="s">
        <v>2127</v>
      </c>
      <c r="M2956" s="851">
        <v>5.0788E-2</v>
      </c>
      <c r="N2956" s="1476">
        <v>1.9562020449167261</v>
      </c>
      <c r="O2956" s="1476"/>
    </row>
    <row r="2957" spans="11:15">
      <c r="K2957" s="1472">
        <v>45014</v>
      </c>
      <c r="L2957" s="1476" t="s">
        <v>2127</v>
      </c>
      <c r="M2957" s="851">
        <v>5.0788E-2</v>
      </c>
      <c r="N2957" s="1476">
        <v>1.9571955608112985</v>
      </c>
      <c r="O2957" s="1476"/>
    </row>
    <row r="2958" spans="11:15">
      <c r="K2958" s="1472">
        <v>45015</v>
      </c>
      <c r="L2958" s="1476" t="s">
        <v>2127</v>
      </c>
      <c r="M2958" s="851">
        <v>5.0788E-2</v>
      </c>
      <c r="N2958" s="1476">
        <v>1.9581895812927235</v>
      </c>
      <c r="O2958" s="1476"/>
    </row>
    <row r="2959" spans="11:15">
      <c r="K2959" s="1472">
        <v>45016</v>
      </c>
      <c r="L2959" s="1476" t="s">
        <v>2127</v>
      </c>
      <c r="M2959" s="851">
        <v>5.0788E-2</v>
      </c>
      <c r="N2959" s="1476">
        <v>1.9591841066172704</v>
      </c>
      <c r="O2959" s="1476"/>
    </row>
    <row r="2960" spans="11:15">
      <c r="K2960" s="1472">
        <v>45017</v>
      </c>
      <c r="L2960" s="1476"/>
      <c r="M2960" s="851">
        <v>0</v>
      </c>
      <c r="N2960" s="1476">
        <v>1.9591841066172704</v>
      </c>
      <c r="O2960" s="1476"/>
    </row>
    <row r="2961" spans="11:15">
      <c r="K2961" s="1472">
        <v>45018</v>
      </c>
      <c r="L2961" s="1476"/>
      <c r="M2961" s="851">
        <v>0</v>
      </c>
      <c r="N2961" s="1476">
        <v>1.9591841066172704</v>
      </c>
      <c r="O2961" s="1476"/>
    </row>
    <row r="2962" spans="11:15">
      <c r="K2962" s="1472">
        <v>45019</v>
      </c>
      <c r="L2962" s="1476" t="s">
        <v>2127</v>
      </c>
      <c r="M2962" s="851">
        <v>5.0788E-2</v>
      </c>
      <c r="N2962" s="1476">
        <v>1.9601791370413393</v>
      </c>
      <c r="O2962" s="1476"/>
    </row>
    <row r="2963" spans="11:15">
      <c r="K2963" s="1472">
        <v>45020</v>
      </c>
      <c r="L2963" s="1476" t="s">
        <v>2127</v>
      </c>
      <c r="M2963" s="851">
        <v>5.0788E-2</v>
      </c>
      <c r="N2963" s="1476">
        <v>1.9611746728214599</v>
      </c>
      <c r="O2963" s="1476"/>
    </row>
    <row r="2964" spans="11:15">
      <c r="K2964" s="1472">
        <v>45021</v>
      </c>
      <c r="L2964" s="1476" t="s">
        <v>2127</v>
      </c>
      <c r="M2964" s="851">
        <v>5.0788E-2</v>
      </c>
      <c r="N2964" s="1476">
        <v>1.9621707142142923</v>
      </c>
      <c r="O2964" s="1476"/>
    </row>
    <row r="2965" spans="11:15">
      <c r="K2965" s="1472">
        <v>45022</v>
      </c>
      <c r="L2965" s="1476" t="s">
        <v>2127</v>
      </c>
      <c r="M2965" s="851">
        <v>5.0788E-2</v>
      </c>
      <c r="N2965" s="1476">
        <v>1.9631672614766276</v>
      </c>
      <c r="O2965" s="1476"/>
    </row>
    <row r="2966" spans="11:15">
      <c r="K2966" s="1472">
        <v>45023</v>
      </c>
      <c r="L2966" s="1476"/>
      <c r="M2966" s="851">
        <v>0</v>
      </c>
      <c r="N2966" s="1476">
        <v>1.9631672614766276</v>
      </c>
      <c r="O2966" s="1476"/>
    </row>
    <row r="2967" spans="11:15">
      <c r="K2967" s="1472">
        <v>45024</v>
      </c>
      <c r="L2967" s="1476"/>
      <c r="M2967" s="851">
        <v>0</v>
      </c>
      <c r="N2967" s="1476">
        <v>1.9631672614766276</v>
      </c>
      <c r="O2967" s="1476"/>
    </row>
    <row r="2968" spans="11:15">
      <c r="K2968" s="1472">
        <v>45025</v>
      </c>
      <c r="L2968" s="1476"/>
      <c r="M2968" s="851">
        <v>0</v>
      </c>
      <c r="N2968" s="1476">
        <v>1.9631672614766276</v>
      </c>
      <c r="O2968" s="1476"/>
    </row>
    <row r="2969" spans="11:15">
      <c r="K2969" s="1472">
        <v>45026</v>
      </c>
      <c r="L2969" s="1476" t="s">
        <v>2127</v>
      </c>
      <c r="M2969" s="851">
        <v>5.0788E-2</v>
      </c>
      <c r="N2969" s="1476">
        <v>1.9641643148653865</v>
      </c>
      <c r="O2969" s="1476"/>
    </row>
    <row r="2970" spans="11:15">
      <c r="K2970" s="1472">
        <v>45027</v>
      </c>
      <c r="L2970" s="1476" t="s">
        <v>2127</v>
      </c>
      <c r="M2970" s="851">
        <v>5.0788E-2</v>
      </c>
      <c r="N2970" s="1476">
        <v>1.9651618746376203</v>
      </c>
      <c r="O2970" s="1476"/>
    </row>
    <row r="2971" spans="11:15">
      <c r="K2971" s="1472">
        <v>45028</v>
      </c>
      <c r="L2971" s="1476" t="s">
        <v>2127</v>
      </c>
      <c r="M2971" s="851">
        <v>5.0788E-2</v>
      </c>
      <c r="N2971" s="1476">
        <v>1.9661599410505113</v>
      </c>
      <c r="O2971" s="1476"/>
    </row>
    <row r="2972" spans="11:15">
      <c r="K2972" s="1472">
        <v>45029</v>
      </c>
      <c r="L2972" s="1476" t="s">
        <v>2127</v>
      </c>
      <c r="M2972" s="851">
        <v>5.0788E-2</v>
      </c>
      <c r="N2972" s="1476">
        <v>1.9671585143613721</v>
      </c>
      <c r="O2972" s="1476"/>
    </row>
    <row r="2973" spans="11:15">
      <c r="K2973" s="1472">
        <v>45030</v>
      </c>
      <c r="L2973" s="1476" t="s">
        <v>2127</v>
      </c>
      <c r="M2973" s="851">
        <v>5.0788E-2</v>
      </c>
      <c r="N2973" s="1476">
        <v>1.968157594827646</v>
      </c>
      <c r="O2973" s="1476"/>
    </row>
    <row r="2974" spans="11:15">
      <c r="K2974" s="1472">
        <v>45031</v>
      </c>
      <c r="L2974" s="1476"/>
      <c r="M2974" s="851">
        <v>0</v>
      </c>
      <c r="N2974" s="1476">
        <v>1.968157594827646</v>
      </c>
      <c r="O2974" s="1476"/>
    </row>
    <row r="2975" spans="11:15">
      <c r="K2975" s="1472">
        <v>45032</v>
      </c>
      <c r="L2975" s="1476"/>
      <c r="M2975" s="851">
        <v>0</v>
      </c>
      <c r="N2975" s="1476">
        <v>1.968157594827646</v>
      </c>
      <c r="O2975" s="1476"/>
    </row>
    <row r="2976" spans="11:15">
      <c r="K2976" s="1472">
        <v>45033</v>
      </c>
      <c r="L2976" s="1476" t="s">
        <v>2127</v>
      </c>
      <c r="M2976" s="851">
        <v>5.0788E-2</v>
      </c>
      <c r="N2976" s="1476">
        <v>1.969157182706907</v>
      </c>
      <c r="O2976" s="1476"/>
    </row>
    <row r="2977" spans="11:15">
      <c r="K2977" s="1472">
        <v>45034</v>
      </c>
      <c r="L2977" s="1476" t="s">
        <v>2127</v>
      </c>
      <c r="M2977" s="851">
        <v>5.0788E-2</v>
      </c>
      <c r="N2977" s="1476">
        <v>1.9701572782568602</v>
      </c>
      <c r="O2977" s="1476"/>
    </row>
    <row r="2978" spans="11:15">
      <c r="K2978" s="1472">
        <v>45035</v>
      </c>
      <c r="L2978" s="1476" t="s">
        <v>2127</v>
      </c>
      <c r="M2978" s="851">
        <v>5.0788E-2</v>
      </c>
      <c r="N2978" s="1476">
        <v>1.9711578817353412</v>
      </c>
      <c r="O2978" s="1476"/>
    </row>
    <row r="2979" spans="11:15">
      <c r="K2979" s="1472">
        <v>45036</v>
      </c>
      <c r="L2979" s="1476" t="s">
        <v>2127</v>
      </c>
      <c r="M2979" s="851">
        <v>5.0788E-2</v>
      </c>
      <c r="N2979" s="1476">
        <v>1.972158993400317</v>
      </c>
      <c r="O2979" s="1476"/>
    </row>
    <row r="2980" spans="11:15">
      <c r="K2980" s="1472">
        <v>45037</v>
      </c>
      <c r="L2980" s="1476"/>
      <c r="M2980" s="851">
        <v>0</v>
      </c>
      <c r="N2980" s="1476">
        <v>1.972158993400317</v>
      </c>
      <c r="O2980" s="1476"/>
    </row>
    <row r="2981" spans="11:15">
      <c r="K2981" s="1472">
        <v>45038</v>
      </c>
      <c r="L2981" s="1476"/>
      <c r="M2981" s="851">
        <v>0</v>
      </c>
      <c r="N2981" s="1476">
        <v>1.972158993400317</v>
      </c>
      <c r="O2981" s="1476"/>
    </row>
    <row r="2982" spans="11:15">
      <c r="K2982" s="1472">
        <v>45039</v>
      </c>
      <c r="L2982" s="1476"/>
      <c r="M2982" s="851">
        <v>0</v>
      </c>
      <c r="N2982" s="1476">
        <v>1.972158993400317</v>
      </c>
      <c r="O2982" s="1476"/>
    </row>
    <row r="2983" spans="11:15">
      <c r="K2983" s="1472">
        <v>45040</v>
      </c>
      <c r="L2983" s="1476" t="s">
        <v>2127</v>
      </c>
      <c r="M2983" s="851">
        <v>5.0788E-2</v>
      </c>
      <c r="N2983" s="1476">
        <v>1.9731606135098851</v>
      </c>
      <c r="O2983" s="1476"/>
    </row>
    <row r="2984" spans="11:15">
      <c r="K2984" s="1472">
        <v>45041</v>
      </c>
      <c r="L2984" s="1476" t="s">
        <v>2127</v>
      </c>
      <c r="M2984" s="851">
        <v>5.0788E-2</v>
      </c>
      <c r="N2984" s="1476">
        <v>1.9741627423222745</v>
      </c>
      <c r="O2984" s="1476"/>
    </row>
    <row r="2985" spans="11:15">
      <c r="K2985" s="1472">
        <v>45042</v>
      </c>
      <c r="L2985" s="1476" t="s">
        <v>2127</v>
      </c>
      <c r="M2985" s="851">
        <v>5.0788E-2</v>
      </c>
      <c r="N2985" s="1476">
        <v>1.9751653800958451</v>
      </c>
      <c r="O2985" s="1476"/>
    </row>
    <row r="2986" spans="11:15">
      <c r="K2986" s="1472">
        <v>45043</v>
      </c>
      <c r="L2986" s="1476" t="s">
        <v>2127</v>
      </c>
      <c r="M2986" s="851">
        <v>5.0788E-2</v>
      </c>
      <c r="N2986" s="1476">
        <v>1.9761685270890883</v>
      </c>
      <c r="O2986" s="1476"/>
    </row>
    <row r="2987" spans="11:15">
      <c r="K2987" s="1472">
        <v>45044</v>
      </c>
      <c r="L2987" s="1476" t="s">
        <v>2127</v>
      </c>
      <c r="M2987" s="851">
        <v>5.0788E-2</v>
      </c>
      <c r="N2987" s="1476">
        <v>1.9771721835606264</v>
      </c>
      <c r="O2987" s="1476"/>
    </row>
    <row r="2988" spans="11:15">
      <c r="K2988" s="1472">
        <v>45045</v>
      </c>
      <c r="L2988" s="1476"/>
      <c r="M2988" s="851">
        <v>0</v>
      </c>
      <c r="N2988" s="1476">
        <v>1.9771721835606264</v>
      </c>
      <c r="O2988" s="1476"/>
    </row>
    <row r="2989" spans="11:15">
      <c r="K2989" s="1472">
        <v>45046</v>
      </c>
      <c r="L2989" s="1476"/>
      <c r="M2989" s="851">
        <v>0</v>
      </c>
      <c r="N2989" s="1476">
        <v>1.9771721835606264</v>
      </c>
      <c r="O2989" s="1476"/>
    </row>
    <row r="2990" spans="11:15">
      <c r="K2990" s="1472">
        <v>45047</v>
      </c>
      <c r="L2990" s="1476"/>
      <c r="M2990" s="851">
        <v>0</v>
      </c>
      <c r="N2990" s="1476">
        <v>1.9771721835606264</v>
      </c>
      <c r="O2990" s="1476"/>
    </row>
    <row r="2991" spans="11:15">
      <c r="K2991" s="1472">
        <v>45048</v>
      </c>
      <c r="L2991" s="1476" t="s">
        <v>2127</v>
      </c>
      <c r="M2991" s="851">
        <v>5.0788E-2</v>
      </c>
      <c r="N2991" s="1476">
        <v>1.9781763497692133</v>
      </c>
      <c r="O2991" s="1476"/>
    </row>
    <row r="2992" spans="11:15">
      <c r="K2992" s="1472">
        <v>45049</v>
      </c>
      <c r="L2992" s="1476" t="s">
        <v>2127</v>
      </c>
      <c r="M2992" s="851">
        <v>5.0788E-2</v>
      </c>
      <c r="N2992" s="1476">
        <v>1.9791810259737341</v>
      </c>
      <c r="O2992" s="1476"/>
    </row>
    <row r="2993" spans="11:15">
      <c r="K2993" s="1472">
        <v>45050</v>
      </c>
      <c r="L2993" s="1476" t="s">
        <v>2127</v>
      </c>
      <c r="M2993" s="851">
        <v>5.0788E-2</v>
      </c>
      <c r="N2993" s="1476">
        <v>1.9801862124332057</v>
      </c>
      <c r="O2993" s="1476"/>
    </row>
    <row r="2994" spans="11:15">
      <c r="K2994" s="1472">
        <v>45051</v>
      </c>
      <c r="L2994" s="1476" t="s">
        <v>2127</v>
      </c>
      <c r="M2994" s="851">
        <v>5.0788E-2</v>
      </c>
      <c r="N2994" s="1476">
        <v>1.9811919094067763</v>
      </c>
      <c r="O2994" s="1476"/>
    </row>
    <row r="2995" spans="11:15">
      <c r="K2995" s="1472">
        <v>45052</v>
      </c>
      <c r="L2995" s="1476"/>
      <c r="M2995" s="851">
        <v>0</v>
      </c>
      <c r="N2995" s="1476">
        <v>1.9811919094067763</v>
      </c>
      <c r="O2995" s="1476"/>
    </row>
    <row r="2996" spans="11:15">
      <c r="K2996" s="1472">
        <v>45053</v>
      </c>
      <c r="L2996" s="1476"/>
      <c r="M2996" s="851">
        <v>0</v>
      </c>
      <c r="N2996" s="1476">
        <v>1.9811919094067763</v>
      </c>
      <c r="O2996" s="1476"/>
    </row>
    <row r="2997" spans="11:15">
      <c r="K2997" s="1472">
        <v>45054</v>
      </c>
      <c r="L2997" s="1476" t="s">
        <v>2127</v>
      </c>
      <c r="M2997" s="851">
        <v>5.0788E-2</v>
      </c>
      <c r="N2997" s="1476">
        <v>1.9821981171537257</v>
      </c>
      <c r="O2997" s="1476"/>
    </row>
    <row r="2998" spans="11:15">
      <c r="K2998" s="1472">
        <v>45055</v>
      </c>
      <c r="L2998" s="1476" t="s">
        <v>2127</v>
      </c>
      <c r="M2998" s="851">
        <v>5.0788E-2</v>
      </c>
      <c r="N2998" s="1476">
        <v>1.9832048359334657</v>
      </c>
      <c r="O2998" s="1476"/>
    </row>
    <row r="2999" spans="11:15">
      <c r="K2999" s="1472">
        <v>45056</v>
      </c>
      <c r="L2999" s="1476" t="s">
        <v>2127</v>
      </c>
      <c r="M2999" s="851">
        <v>5.0788E-2</v>
      </c>
      <c r="N2999" s="1476">
        <v>1.9842120660055396</v>
      </c>
      <c r="O2999" s="1476"/>
    </row>
    <row r="3000" spans="11:15">
      <c r="K3000" s="1472">
        <v>45057</v>
      </c>
      <c r="L3000" s="1476" t="s">
        <v>2127</v>
      </c>
      <c r="M3000" s="851">
        <v>5.0788E-2</v>
      </c>
      <c r="N3000" s="1476">
        <v>1.9852198076296226</v>
      </c>
      <c r="O3000" s="1476"/>
    </row>
    <row r="3001" spans="11:15">
      <c r="K3001" s="1472">
        <v>45058</v>
      </c>
      <c r="L3001" s="1476" t="s">
        <v>2127</v>
      </c>
      <c r="M3001" s="851">
        <v>5.0788E-2</v>
      </c>
      <c r="N3001" s="1476">
        <v>1.9862280610655216</v>
      </c>
      <c r="O3001" s="1476"/>
    </row>
    <row r="3002" spans="11:15">
      <c r="K3002" s="1472">
        <v>45059</v>
      </c>
      <c r="L3002" s="1476"/>
      <c r="M3002" s="851">
        <v>0</v>
      </c>
      <c r="N3002" s="1476">
        <v>1.9862280610655216</v>
      </c>
      <c r="O3002" s="1476"/>
    </row>
    <row r="3003" spans="11:15">
      <c r="K3003" s="1472">
        <v>45060</v>
      </c>
      <c r="L3003" s="1476"/>
      <c r="M3003" s="851">
        <v>0</v>
      </c>
      <c r="N3003" s="1476">
        <v>1.9862280610655216</v>
      </c>
      <c r="O3003" s="1476"/>
    </row>
    <row r="3004" spans="11:15">
      <c r="K3004" s="1472">
        <v>45061</v>
      </c>
      <c r="L3004" s="1476" t="s">
        <v>2127</v>
      </c>
      <c r="M3004" s="851">
        <v>5.0788E-2</v>
      </c>
      <c r="N3004" s="1476">
        <v>1.9872368265731757</v>
      </c>
      <c r="O3004" s="1476"/>
    </row>
    <row r="3005" spans="11:15">
      <c r="K3005" s="1472">
        <v>45062</v>
      </c>
      <c r="L3005" s="1476" t="s">
        <v>2127</v>
      </c>
      <c r="M3005" s="851">
        <v>5.0788E-2</v>
      </c>
      <c r="N3005" s="1476">
        <v>1.9882461044126558</v>
      </c>
      <c r="O3005" s="1476"/>
    </row>
    <row r="3006" spans="11:15">
      <c r="K3006" s="1472">
        <v>45063</v>
      </c>
      <c r="L3006" s="1476" t="s">
        <v>2127</v>
      </c>
      <c r="M3006" s="851">
        <v>5.0788E-2</v>
      </c>
      <c r="N3006" s="1476">
        <v>1.989255894844165</v>
      </c>
      <c r="O3006" s="1476"/>
    </row>
    <row r="3007" spans="11:15">
      <c r="K3007" s="1472">
        <v>45064</v>
      </c>
      <c r="L3007" s="1476" t="s">
        <v>2127</v>
      </c>
      <c r="M3007" s="851">
        <v>5.0788E-2</v>
      </c>
      <c r="N3007" s="1476">
        <v>1.9902661981280385</v>
      </c>
      <c r="O3007" s="1476"/>
    </row>
    <row r="3008" spans="11:15">
      <c r="K3008" s="1472">
        <v>45065</v>
      </c>
      <c r="L3008" s="1476" t="s">
        <v>2127</v>
      </c>
      <c r="M3008" s="851">
        <v>5.0788E-2</v>
      </c>
      <c r="N3008" s="1476">
        <v>1.9912770145247438</v>
      </c>
      <c r="O3008" s="1476"/>
    </row>
    <row r="3009" spans="11:15">
      <c r="K3009" s="1472">
        <v>45066</v>
      </c>
      <c r="L3009" s="1476"/>
      <c r="M3009" s="851">
        <v>0</v>
      </c>
      <c r="N3009" s="1476">
        <v>1.9912770145247438</v>
      </c>
      <c r="O3009" s="1476"/>
    </row>
    <row r="3010" spans="11:15">
      <c r="K3010" s="1472">
        <v>45067</v>
      </c>
      <c r="L3010" s="1476"/>
      <c r="M3010" s="851">
        <v>0</v>
      </c>
      <c r="N3010" s="1476">
        <v>1.9912770145247438</v>
      </c>
      <c r="O3010" s="1476"/>
    </row>
    <row r="3011" spans="11:15">
      <c r="K3011" s="1472">
        <v>45068</v>
      </c>
      <c r="L3011" s="1476" t="s">
        <v>2127</v>
      </c>
      <c r="M3011" s="851">
        <v>5.0788E-2</v>
      </c>
      <c r="N3011" s="1476">
        <v>1.9922883442948807</v>
      </c>
      <c r="O3011" s="1476"/>
    </row>
    <row r="3012" spans="11:15">
      <c r="K3012" s="1472">
        <v>45069</v>
      </c>
      <c r="L3012" s="1476" t="s">
        <v>2127</v>
      </c>
      <c r="M3012" s="851">
        <v>5.0788E-2</v>
      </c>
      <c r="N3012" s="1476">
        <v>1.9933001876991812</v>
      </c>
      <c r="O3012" s="1476"/>
    </row>
    <row r="3013" spans="11:15">
      <c r="K3013" s="1472">
        <v>45070</v>
      </c>
      <c r="L3013" s="1476" t="s">
        <v>2127</v>
      </c>
      <c r="M3013" s="851">
        <v>5.0788E-2</v>
      </c>
      <c r="N3013" s="1476">
        <v>1.9943125449985097</v>
      </c>
      <c r="O3013" s="1476"/>
    </row>
    <row r="3014" spans="11:15">
      <c r="K3014" s="1472">
        <v>45071</v>
      </c>
      <c r="L3014" s="1476" t="s">
        <v>2127</v>
      </c>
      <c r="M3014" s="851">
        <v>5.0788E-2</v>
      </c>
      <c r="N3014" s="1476">
        <v>1.9953254164538636</v>
      </c>
      <c r="O3014" s="1476"/>
    </row>
    <row r="3015" spans="11:15">
      <c r="K3015" s="1472">
        <v>45072</v>
      </c>
      <c r="L3015" s="1476" t="s">
        <v>2127</v>
      </c>
      <c r="M3015" s="851">
        <v>5.0788E-2</v>
      </c>
      <c r="N3015" s="1476">
        <v>1.9963388023263722</v>
      </c>
      <c r="O3015" s="1476"/>
    </row>
    <row r="3016" spans="11:15">
      <c r="K3016" s="1472">
        <v>45073</v>
      </c>
      <c r="L3016" s="1476"/>
      <c r="M3016" s="851">
        <v>0</v>
      </c>
      <c r="N3016" s="1476">
        <v>1.9963388023263722</v>
      </c>
      <c r="O3016" s="1476"/>
    </row>
    <row r="3017" spans="11:15">
      <c r="K3017" s="1472">
        <v>45074</v>
      </c>
      <c r="L3017" s="1476"/>
      <c r="M3017" s="851">
        <v>0</v>
      </c>
      <c r="N3017" s="1476">
        <v>1.9963388023263722</v>
      </c>
      <c r="O3017" s="1476"/>
    </row>
    <row r="3018" spans="11:15">
      <c r="K3018" s="1472">
        <v>45075</v>
      </c>
      <c r="L3018" s="1476" t="s">
        <v>2127</v>
      </c>
      <c r="M3018" s="851">
        <v>5.0788E-2</v>
      </c>
      <c r="N3018" s="1476">
        <v>1.9973527028772977</v>
      </c>
      <c r="O3018" s="1476"/>
    </row>
    <row r="3019" spans="11:15">
      <c r="K3019" s="1472">
        <v>45076</v>
      </c>
      <c r="L3019" s="1476" t="s">
        <v>2127</v>
      </c>
      <c r="M3019" s="851">
        <v>5.0788E-2</v>
      </c>
      <c r="N3019" s="1476">
        <v>1.9983671183680352</v>
      </c>
      <c r="O3019" s="1476"/>
    </row>
    <row r="3020" spans="11:15">
      <c r="K3020" s="1472">
        <v>45077</v>
      </c>
      <c r="L3020" s="1476" t="s">
        <v>2127</v>
      </c>
      <c r="M3020" s="851">
        <v>5.0788E-2</v>
      </c>
      <c r="N3020" s="1476">
        <v>1.999382049060112</v>
      </c>
      <c r="O3020" s="1476"/>
    </row>
    <row r="3021" spans="11:15">
      <c r="K3021" s="1472">
        <v>45078</v>
      </c>
      <c r="L3021" s="1476" t="s">
        <v>2127</v>
      </c>
      <c r="M3021" s="851">
        <v>5.0788E-2</v>
      </c>
      <c r="N3021" s="1476">
        <v>2.0003974952151888</v>
      </c>
      <c r="O3021" s="1476"/>
    </row>
    <row r="3022" spans="11:15">
      <c r="K3022" s="1472">
        <v>45079</v>
      </c>
      <c r="L3022" s="1476" t="s">
        <v>2127</v>
      </c>
      <c r="M3022" s="851">
        <v>5.0788E-2</v>
      </c>
      <c r="N3022" s="1476">
        <v>2.0014134570950586</v>
      </c>
      <c r="O3022" s="1476"/>
    </row>
    <row r="3023" spans="11:15">
      <c r="K3023" s="1472">
        <v>45080</v>
      </c>
      <c r="L3023" s="1476"/>
      <c r="M3023" s="851">
        <v>0</v>
      </c>
      <c r="N3023" s="1476">
        <v>2.0014134570950586</v>
      </c>
      <c r="O3023" s="1476"/>
    </row>
    <row r="3024" spans="11:15">
      <c r="K3024" s="1472">
        <v>45081</v>
      </c>
      <c r="L3024" s="1476"/>
      <c r="M3024" s="851">
        <v>0</v>
      </c>
      <c r="N3024" s="1476">
        <v>2.0014134570950586</v>
      </c>
      <c r="O3024" s="1476"/>
    </row>
    <row r="3025" spans="11:15">
      <c r="K3025" s="1472">
        <v>45082</v>
      </c>
      <c r="L3025" s="1476" t="s">
        <v>2127</v>
      </c>
      <c r="M3025" s="851">
        <v>5.0788E-2</v>
      </c>
      <c r="N3025" s="1476">
        <v>2.0024299349616479</v>
      </c>
      <c r="O3025" s="1476"/>
    </row>
    <row r="3026" spans="11:15">
      <c r="K3026" s="1472">
        <v>45083</v>
      </c>
      <c r="L3026" s="1476" t="s">
        <v>2127</v>
      </c>
      <c r="M3026" s="851">
        <v>5.0788E-2</v>
      </c>
      <c r="N3026" s="1476">
        <v>2.003446929077016</v>
      </c>
      <c r="O3026" s="1476"/>
    </row>
    <row r="3027" spans="11:15">
      <c r="K3027" s="1472">
        <v>45084</v>
      </c>
      <c r="L3027" s="1476" t="s">
        <v>2127</v>
      </c>
      <c r="M3027" s="851">
        <v>5.0788E-2</v>
      </c>
      <c r="N3027" s="1476">
        <v>2.0044644397033555</v>
      </c>
      <c r="O3027" s="1476"/>
    </row>
    <row r="3028" spans="11:15">
      <c r="K3028" s="1472">
        <v>45085</v>
      </c>
      <c r="L3028" s="1476"/>
      <c r="M3028" s="851">
        <v>0</v>
      </c>
      <c r="N3028" s="1476">
        <v>2.0044644397033555</v>
      </c>
      <c r="O3028" s="1476"/>
    </row>
    <row r="3029" spans="11:15">
      <c r="K3029" s="1472">
        <v>45086</v>
      </c>
      <c r="L3029" s="1476" t="s">
        <v>2127</v>
      </c>
      <c r="M3029" s="851">
        <v>5.0788E-2</v>
      </c>
      <c r="N3029" s="1476">
        <v>2.0054824671029921</v>
      </c>
      <c r="O3029" s="1476"/>
    </row>
    <row r="3030" spans="11:15">
      <c r="K3030" s="1472">
        <v>45087</v>
      </c>
      <c r="L3030" s="1476"/>
      <c r="M3030" s="851">
        <v>0</v>
      </c>
      <c r="N3030" s="1476">
        <v>2.0054824671029921</v>
      </c>
      <c r="O3030" s="1476"/>
    </row>
    <row r="3031" spans="11:15">
      <c r="K3031" s="1472">
        <v>45088</v>
      </c>
      <c r="L3031" s="1476"/>
      <c r="M3031" s="851">
        <v>0</v>
      </c>
      <c r="N3031" s="1476">
        <v>2.0054824671029921</v>
      </c>
      <c r="O3031" s="1476"/>
    </row>
    <row r="3032" spans="11:15">
      <c r="K3032" s="1472">
        <v>45089</v>
      </c>
      <c r="L3032" s="1476" t="s">
        <v>2127</v>
      </c>
      <c r="M3032" s="851">
        <v>5.0788E-2</v>
      </c>
      <c r="N3032" s="1476">
        <v>2.0065010115383846</v>
      </c>
      <c r="O3032" s="1476"/>
    </row>
    <row r="3033" spans="11:15">
      <c r="K3033" s="1472">
        <v>45090</v>
      </c>
      <c r="L3033" s="1476" t="s">
        <v>2127</v>
      </c>
      <c r="M3033" s="851">
        <v>5.0788E-2</v>
      </c>
      <c r="N3033" s="1476">
        <v>2.0075200732721248</v>
      </c>
      <c r="O3033" s="1476"/>
    </row>
    <row r="3034" spans="11:15">
      <c r="K3034" s="1472">
        <v>45091</v>
      </c>
      <c r="L3034" s="1476" t="s">
        <v>2127</v>
      </c>
      <c r="M3034" s="851">
        <v>5.0788E-2</v>
      </c>
      <c r="N3034" s="1476">
        <v>2.0085396525669381</v>
      </c>
      <c r="O3034" s="1476"/>
    </row>
    <row r="3035" spans="11:15">
      <c r="K3035" s="1472">
        <v>45092</v>
      </c>
      <c r="L3035" s="1476" t="s">
        <v>2127</v>
      </c>
      <c r="M3035" s="851">
        <v>5.0788E-2</v>
      </c>
      <c r="N3035" s="1476">
        <v>2.0095597496856836</v>
      </c>
      <c r="O3035" s="1476"/>
    </row>
    <row r="3036" spans="11:15">
      <c r="K3036" s="1472">
        <v>45093</v>
      </c>
      <c r="L3036" s="1476" t="s">
        <v>2127</v>
      </c>
      <c r="M3036" s="851">
        <v>5.0788E-2</v>
      </c>
      <c r="N3036" s="1476">
        <v>2.0105803648913541</v>
      </c>
      <c r="O3036" s="1476"/>
    </row>
    <row r="3037" spans="11:15">
      <c r="K3037" s="1472">
        <v>45094</v>
      </c>
      <c r="L3037" s="1476"/>
      <c r="M3037" s="851">
        <v>0</v>
      </c>
      <c r="N3037" s="1476">
        <v>2.0105803648913541</v>
      </c>
      <c r="O3037" s="1476"/>
    </row>
    <row r="3038" spans="11:15">
      <c r="K3038" s="1472">
        <v>45095</v>
      </c>
      <c r="L3038" s="1476"/>
      <c r="M3038" s="851">
        <v>0</v>
      </c>
      <c r="N3038" s="1476">
        <v>2.0105803648913541</v>
      </c>
      <c r="O3038" s="1476"/>
    </row>
    <row r="3039" spans="11:15">
      <c r="K3039" s="1472">
        <v>45096</v>
      </c>
      <c r="L3039" s="1476" t="s">
        <v>2127</v>
      </c>
      <c r="M3039" s="851">
        <v>5.0788E-2</v>
      </c>
      <c r="N3039" s="1476">
        <v>2.0116014984470749</v>
      </c>
      <c r="O3039" s="1476"/>
    </row>
    <row r="3040" spans="11:15">
      <c r="K3040" s="1472">
        <v>45097</v>
      </c>
      <c r="L3040" s="1476" t="s">
        <v>2127</v>
      </c>
      <c r="M3040" s="851">
        <v>5.0788E-2</v>
      </c>
      <c r="N3040" s="1476">
        <v>2.0126231506161063</v>
      </c>
      <c r="O3040" s="1476"/>
    </row>
    <row r="3041" spans="11:15">
      <c r="K3041" s="1472">
        <v>45098</v>
      </c>
      <c r="L3041" s="1476" t="s">
        <v>2127</v>
      </c>
      <c r="M3041" s="851">
        <v>5.0788E-2</v>
      </c>
      <c r="N3041" s="1476">
        <v>2.0136453216618411</v>
      </c>
      <c r="O3041" s="1476"/>
    </row>
    <row r="3042" spans="11:15">
      <c r="K3042" s="1472">
        <v>45099</v>
      </c>
      <c r="L3042" s="1476" t="s">
        <v>2127</v>
      </c>
      <c r="M3042" s="851">
        <v>5.0788E-2</v>
      </c>
      <c r="N3042" s="1476">
        <v>2.0146680118478066</v>
      </c>
      <c r="O3042" s="1476"/>
    </row>
    <row r="3043" spans="11:15">
      <c r="K3043" s="1472">
        <v>45100</v>
      </c>
      <c r="L3043" s="1476" t="s">
        <v>2127</v>
      </c>
      <c r="M3043" s="851">
        <v>5.0788E-2</v>
      </c>
      <c r="N3043" s="1476">
        <v>2.0156912214376641</v>
      </c>
      <c r="O3043" s="1476"/>
    </row>
    <row r="3044" spans="11:15">
      <c r="K3044" s="1472">
        <v>45101</v>
      </c>
      <c r="L3044" s="1476"/>
      <c r="M3044" s="851">
        <v>0</v>
      </c>
      <c r="N3044" s="1476">
        <v>2.0156912214376641</v>
      </c>
      <c r="O3044" s="1476"/>
    </row>
    <row r="3045" spans="11:15">
      <c r="K3045" s="1472">
        <v>45102</v>
      </c>
      <c r="L3045" s="1476"/>
      <c r="M3045" s="851">
        <v>0</v>
      </c>
      <c r="N3045" s="1476">
        <v>2.0156912214376641</v>
      </c>
      <c r="O3045" s="1476"/>
    </row>
    <row r="3046" spans="11:15">
      <c r="K3046" s="1472">
        <v>45103</v>
      </c>
      <c r="L3046" s="1476" t="s">
        <v>2127</v>
      </c>
      <c r="M3046" s="851">
        <v>5.0788E-2</v>
      </c>
      <c r="N3046" s="1476">
        <v>2.0167149506952078</v>
      </c>
      <c r="O3046" s="1476"/>
    </row>
    <row r="3047" spans="11:15">
      <c r="K3047" s="1472">
        <v>45104</v>
      </c>
      <c r="L3047" s="1476" t="s">
        <v>2127</v>
      </c>
      <c r="M3047" s="851">
        <v>5.0788E-2</v>
      </c>
      <c r="N3047" s="1476">
        <v>2.017739199884367</v>
      </c>
      <c r="O3047" s="1476"/>
    </row>
    <row r="3048" spans="11:15">
      <c r="K3048" s="1472">
        <v>45105</v>
      </c>
      <c r="L3048" s="1476" t="s">
        <v>2127</v>
      </c>
      <c r="M3048" s="851">
        <v>5.0788E-2</v>
      </c>
      <c r="N3048" s="1476">
        <v>2.0187639692692043</v>
      </c>
      <c r="O3048" s="1476"/>
    </row>
    <row r="3049" spans="11:15">
      <c r="K3049" s="1472">
        <v>45106</v>
      </c>
      <c r="L3049" s="1476" t="s">
        <v>2127</v>
      </c>
      <c r="M3049" s="851">
        <v>5.0788E-2</v>
      </c>
      <c r="N3049" s="1476">
        <v>2.0197892591139168</v>
      </c>
      <c r="O3049" s="1476"/>
    </row>
    <row r="3050" spans="11:15">
      <c r="K3050" s="1472">
        <v>45107</v>
      </c>
      <c r="L3050" s="1476" t="s">
        <v>2127</v>
      </c>
      <c r="M3050" s="851">
        <v>5.0788E-2</v>
      </c>
      <c r="N3050" s="1476">
        <v>2.0208150696828358</v>
      </c>
      <c r="O3050" s="1476"/>
    </row>
    <row r="3051" spans="11:15">
      <c r="K3051" s="1472">
        <v>45108</v>
      </c>
      <c r="L3051" s="1476"/>
      <c r="M3051" s="851">
        <v>0</v>
      </c>
      <c r="N3051" s="1476">
        <v>2.0208150696828358</v>
      </c>
      <c r="O3051" s="1476"/>
    </row>
    <row r="3052" spans="11:15">
      <c r="K3052" s="1472">
        <v>45109</v>
      </c>
      <c r="L3052" s="1476"/>
      <c r="M3052" s="851">
        <v>0</v>
      </c>
      <c r="N3052" s="1476">
        <v>2.0208150696828358</v>
      </c>
      <c r="O3052" s="1476"/>
    </row>
    <row r="3053" spans="11:15">
      <c r="K3053" s="1472">
        <v>45110</v>
      </c>
      <c r="L3053" s="1476" t="s">
        <v>2127</v>
      </c>
      <c r="M3053" s="851">
        <v>5.0788E-2</v>
      </c>
      <c r="N3053" s="1476">
        <v>2.0218414012404264</v>
      </c>
      <c r="O3053" s="1476"/>
    </row>
    <row r="3054" spans="11:15">
      <c r="K3054" s="1472">
        <v>45111</v>
      </c>
      <c r="L3054" s="1476" t="s">
        <v>2127</v>
      </c>
      <c r="M3054" s="851">
        <v>5.0788E-2</v>
      </c>
      <c r="N3054" s="1476">
        <v>2.0228682540512883</v>
      </c>
      <c r="O3054" s="1476"/>
    </row>
    <row r="3055" spans="11:15">
      <c r="K3055" s="1472">
        <v>45112</v>
      </c>
      <c r="L3055" s="1476" t="s">
        <v>2127</v>
      </c>
      <c r="M3055" s="851">
        <v>5.0788E-2</v>
      </c>
      <c r="N3055" s="1476">
        <v>2.0238956283801559</v>
      </c>
      <c r="O3055" s="1476"/>
    </row>
    <row r="3056" spans="11:15">
      <c r="K3056" s="1472">
        <v>45113</v>
      </c>
      <c r="L3056" s="1476" t="s">
        <v>2127</v>
      </c>
      <c r="M3056" s="851">
        <v>5.0788E-2</v>
      </c>
      <c r="N3056" s="1476">
        <v>2.0249235244918977</v>
      </c>
      <c r="O3056" s="1476"/>
    </row>
    <row r="3057" spans="11:15">
      <c r="K3057" s="1472">
        <v>45114</v>
      </c>
      <c r="L3057" s="1476" t="s">
        <v>2127</v>
      </c>
      <c r="M3057" s="851">
        <v>5.0788E-2</v>
      </c>
      <c r="N3057" s="1476">
        <v>2.0259519426515169</v>
      </c>
      <c r="O3057" s="1476"/>
    </row>
    <row r="3058" spans="11:15">
      <c r="K3058" s="1472">
        <v>45115</v>
      </c>
      <c r="L3058" s="1476"/>
      <c r="M3058" s="851">
        <v>0</v>
      </c>
      <c r="N3058" s="1476">
        <v>2.0259519426515169</v>
      </c>
      <c r="O3058" s="1476"/>
    </row>
    <row r="3059" spans="11:15">
      <c r="K3059" s="1472">
        <v>45116</v>
      </c>
      <c r="L3059" s="1476"/>
      <c r="M3059" s="851">
        <v>0</v>
      </c>
      <c r="N3059" s="1476">
        <v>2.0259519426515169</v>
      </c>
      <c r="O3059" s="1476"/>
    </row>
    <row r="3060" spans="11:15">
      <c r="K3060" s="1472">
        <v>45117</v>
      </c>
      <c r="L3060" s="1476" t="s">
        <v>2127</v>
      </c>
      <c r="M3060" s="851">
        <v>5.0788E-2</v>
      </c>
      <c r="N3060" s="1476">
        <v>2.0269808831241507</v>
      </c>
      <c r="O3060" s="1476"/>
    </row>
    <row r="3061" spans="11:15">
      <c r="K3061" s="1472">
        <v>45118</v>
      </c>
      <c r="L3061" s="1476" t="s">
        <v>2127</v>
      </c>
      <c r="M3061" s="851">
        <v>5.0788E-2</v>
      </c>
      <c r="N3061" s="1476">
        <v>2.0280103461750718</v>
      </c>
      <c r="O3061" s="1476"/>
    </row>
    <row r="3062" spans="11:15">
      <c r="K3062" s="1472">
        <v>45119</v>
      </c>
      <c r="L3062" s="1476" t="s">
        <v>2127</v>
      </c>
      <c r="M3062" s="851">
        <v>5.0788E-2</v>
      </c>
      <c r="N3062" s="1476">
        <v>2.029040332069687</v>
      </c>
      <c r="O3062" s="1476"/>
    </row>
    <row r="3063" spans="11:15">
      <c r="K3063" s="1472">
        <v>45120</v>
      </c>
      <c r="L3063" s="1476" t="s">
        <v>2127</v>
      </c>
      <c r="M3063" s="851">
        <v>5.0788E-2</v>
      </c>
      <c r="N3063" s="1476">
        <v>2.0300708410735386</v>
      </c>
      <c r="O3063" s="1476"/>
    </row>
    <row r="3064" spans="11:15">
      <c r="K3064" s="1472">
        <v>45121</v>
      </c>
      <c r="L3064" s="1476" t="s">
        <v>2127</v>
      </c>
      <c r="M3064" s="851">
        <v>5.0788E-2</v>
      </c>
      <c r="N3064" s="1476">
        <v>2.031101873452303</v>
      </c>
      <c r="O3064" s="1476"/>
    </row>
    <row r="3065" spans="11:15">
      <c r="K3065" s="1472">
        <v>45122</v>
      </c>
      <c r="L3065" s="1476"/>
      <c r="M3065" s="851">
        <v>0</v>
      </c>
      <c r="N3065" s="1476">
        <v>2.031101873452303</v>
      </c>
      <c r="O3065" s="1476"/>
    </row>
    <row r="3066" spans="11:15">
      <c r="K3066" s="1472">
        <v>45123</v>
      </c>
      <c r="L3066" s="1476"/>
      <c r="M3066" s="851">
        <v>0</v>
      </c>
      <c r="N3066" s="1476">
        <v>2.031101873452303</v>
      </c>
      <c r="O3066" s="1476"/>
    </row>
    <row r="3067" spans="11:15">
      <c r="K3067" s="1472">
        <v>45124</v>
      </c>
      <c r="L3067" s="1476" t="s">
        <v>2127</v>
      </c>
      <c r="M3067" s="851">
        <v>5.0788E-2</v>
      </c>
      <c r="N3067" s="1476">
        <v>2.0321334294717919</v>
      </c>
      <c r="O3067" s="1476"/>
    </row>
    <row r="3068" spans="11:15">
      <c r="K3068" s="1472">
        <v>45125</v>
      </c>
      <c r="L3068" s="1476" t="s">
        <v>2127</v>
      </c>
      <c r="M3068" s="851">
        <v>5.0788E-2</v>
      </c>
      <c r="N3068" s="1476">
        <v>2.0331655093979522</v>
      </c>
      <c r="O3068" s="1476"/>
    </row>
    <row r="3069" spans="11:15">
      <c r="K3069" s="1472">
        <v>45126</v>
      </c>
      <c r="L3069" s="1476" t="s">
        <v>2127</v>
      </c>
      <c r="M3069" s="851">
        <v>5.0788E-2</v>
      </c>
      <c r="N3069" s="1476">
        <v>2.0341981134968652</v>
      </c>
      <c r="O3069" s="1476"/>
    </row>
    <row r="3070" spans="11:15">
      <c r="K3070" s="1472">
        <v>45127</v>
      </c>
      <c r="L3070" s="1476" t="s">
        <v>2127</v>
      </c>
      <c r="M3070" s="851">
        <v>5.0788E-2</v>
      </c>
      <c r="N3070" s="1476">
        <v>2.0352312420347478</v>
      </c>
      <c r="O3070" s="1476"/>
    </row>
    <row r="3071" spans="11:15">
      <c r="K3071" s="1472">
        <v>45128</v>
      </c>
      <c r="L3071" s="1476" t="s">
        <v>2127</v>
      </c>
      <c r="M3071" s="851">
        <v>5.0788E-2</v>
      </c>
      <c r="N3071" s="1476">
        <v>2.0362648952779523</v>
      </c>
      <c r="O3071" s="1476"/>
    </row>
    <row r="3072" spans="11:15">
      <c r="K3072" s="1472">
        <v>45129</v>
      </c>
      <c r="L3072" s="1476"/>
      <c r="M3072" s="851">
        <v>0</v>
      </c>
      <c r="N3072" s="1476">
        <v>2.0362648952779523</v>
      </c>
      <c r="O3072" s="1476"/>
    </row>
    <row r="3073" spans="11:15">
      <c r="K3073" s="1472">
        <v>45130</v>
      </c>
      <c r="L3073" s="1476"/>
      <c r="M3073" s="851">
        <v>0</v>
      </c>
      <c r="N3073" s="1476">
        <v>2.0362648952779523</v>
      </c>
      <c r="O3073" s="1476"/>
    </row>
    <row r="3074" spans="11:15">
      <c r="K3074" s="1472">
        <v>45131</v>
      </c>
      <c r="L3074" s="1476" t="s">
        <v>2127</v>
      </c>
      <c r="M3074" s="851">
        <v>5.0788E-2</v>
      </c>
      <c r="N3074" s="1476">
        <v>2.0372990734929659</v>
      </c>
      <c r="O3074" s="1476"/>
    </row>
    <row r="3075" spans="11:15">
      <c r="K3075" s="1472">
        <v>45132</v>
      </c>
      <c r="L3075" s="1476" t="s">
        <v>2127</v>
      </c>
      <c r="M3075" s="851">
        <v>5.0788E-2</v>
      </c>
      <c r="N3075" s="1476">
        <v>2.0383337769464114</v>
      </c>
      <c r="O3075" s="1476"/>
    </row>
    <row r="3076" spans="11:15">
      <c r="K3076" s="1472">
        <v>45133</v>
      </c>
      <c r="L3076" s="1476" t="s">
        <v>2127</v>
      </c>
      <c r="M3076" s="851">
        <v>5.0788E-2</v>
      </c>
      <c r="N3076" s="1476">
        <v>2.0393690059050469</v>
      </c>
      <c r="O3076" s="1476"/>
    </row>
    <row r="3077" spans="11:15">
      <c r="K3077" s="1472">
        <v>45134</v>
      </c>
      <c r="L3077" s="1476" t="s">
        <v>2127</v>
      </c>
      <c r="M3077" s="851">
        <v>5.0788E-2</v>
      </c>
      <c r="N3077" s="1476">
        <v>2.040404760635766</v>
      </c>
      <c r="O3077" s="1476"/>
    </row>
    <row r="3078" spans="11:15">
      <c r="K3078" s="1472">
        <v>45135</v>
      </c>
      <c r="L3078" s="1476" t="s">
        <v>2127</v>
      </c>
      <c r="M3078" s="851">
        <v>5.0788E-2</v>
      </c>
      <c r="N3078" s="1476">
        <v>2.0414410414055979</v>
      </c>
      <c r="O3078" s="1476"/>
    </row>
    <row r="3079" spans="11:15">
      <c r="K3079" s="1472">
        <v>45136</v>
      </c>
      <c r="L3079" s="1476"/>
      <c r="M3079" s="851">
        <v>0</v>
      </c>
      <c r="N3079" s="1476">
        <v>2.0414410414055979</v>
      </c>
      <c r="O3079" s="1476"/>
    </row>
    <row r="3080" spans="11:15">
      <c r="K3080" s="1472">
        <v>45137</v>
      </c>
      <c r="L3080" s="1476"/>
      <c r="M3080" s="851">
        <v>0</v>
      </c>
      <c r="N3080" s="1476">
        <v>2.0414410414055979</v>
      </c>
      <c r="O3080" s="1476"/>
    </row>
    <row r="3081" spans="11:15">
      <c r="K3081" s="1472">
        <v>45138</v>
      </c>
      <c r="L3081" s="1476" t="s">
        <v>2127</v>
      </c>
      <c r="M3081" s="851">
        <v>5.0788E-2</v>
      </c>
      <c r="N3081" s="1476">
        <v>2.042477848481707</v>
      </c>
      <c r="O3081" s="1476"/>
    </row>
    <row r="3082" spans="11:15">
      <c r="K3082" s="1472">
        <v>45139</v>
      </c>
      <c r="L3082" s="1476" t="s">
        <v>2127</v>
      </c>
      <c r="M3082" s="851">
        <v>5.0788E-2</v>
      </c>
      <c r="N3082" s="1476">
        <v>2.0435151821313937</v>
      </c>
      <c r="O3082" s="1476"/>
    </row>
    <row r="3083" spans="11:15">
      <c r="K3083" s="1472">
        <v>45140</v>
      </c>
      <c r="L3083" s="1476" t="s">
        <v>2127</v>
      </c>
      <c r="M3083" s="851">
        <v>5.0788E-2</v>
      </c>
      <c r="N3083" s="1476">
        <v>2.0445530426220948</v>
      </c>
      <c r="O3083" s="1476"/>
    </row>
    <row r="3084" spans="11:15">
      <c r="K3084" s="1472">
        <v>45141</v>
      </c>
      <c r="L3084" s="1476" t="s">
        <v>2127</v>
      </c>
      <c r="M3084" s="851">
        <v>5.0788E-2</v>
      </c>
      <c r="N3084" s="1476">
        <v>2.0455914302213816</v>
      </c>
      <c r="O3084" s="1476"/>
    </row>
    <row r="3085" spans="11:15">
      <c r="K3085" s="1472">
        <v>45142</v>
      </c>
      <c r="L3085" s="1476" t="s">
        <v>2127</v>
      </c>
      <c r="M3085" s="851">
        <v>5.0788E-2</v>
      </c>
      <c r="N3085" s="1476">
        <v>2.0466303451969625</v>
      </c>
      <c r="O3085" s="1476"/>
    </row>
    <row r="3086" spans="11:15">
      <c r="K3086" s="1472">
        <v>45143</v>
      </c>
      <c r="L3086" s="1476"/>
      <c r="M3086" s="851">
        <v>0</v>
      </c>
      <c r="N3086" s="1476">
        <v>2.0466303451969625</v>
      </c>
      <c r="O3086" s="1476"/>
    </row>
    <row r="3087" spans="11:15">
      <c r="K3087" s="1472">
        <v>45144</v>
      </c>
      <c r="L3087" s="1476"/>
      <c r="M3087" s="851">
        <v>0</v>
      </c>
      <c r="N3087" s="1476">
        <v>2.0466303451969625</v>
      </c>
      <c r="O3087" s="1476"/>
    </row>
    <row r="3088" spans="11:15">
      <c r="K3088" s="1472">
        <v>45145</v>
      </c>
      <c r="L3088" s="1476" t="s">
        <v>2127</v>
      </c>
      <c r="M3088" s="851">
        <v>5.0788E-2</v>
      </c>
      <c r="N3088" s="1476">
        <v>2.0476697878166812</v>
      </c>
      <c r="O3088" s="1476"/>
    </row>
    <row r="3089" spans="11:15">
      <c r="K3089" s="1472">
        <v>45146</v>
      </c>
      <c r="L3089" s="1476" t="s">
        <v>2127</v>
      </c>
      <c r="M3089" s="851">
        <v>5.0788E-2</v>
      </c>
      <c r="N3089" s="1476">
        <v>2.0487097583485174</v>
      </c>
      <c r="O3089" s="1476"/>
    </row>
    <row r="3090" spans="11:15">
      <c r="K3090" s="1472">
        <v>45147</v>
      </c>
      <c r="L3090" s="1476" t="s">
        <v>2127</v>
      </c>
      <c r="M3090" s="851">
        <v>5.0788E-2</v>
      </c>
      <c r="N3090" s="1476">
        <v>2.0497502570605874</v>
      </c>
      <c r="O3090" s="1476"/>
    </row>
    <row r="3091" spans="11:15">
      <c r="K3091" s="1472">
        <v>45148</v>
      </c>
      <c r="L3091" s="1476" t="s">
        <v>2127</v>
      </c>
      <c r="M3091" s="851">
        <v>5.0788E-2</v>
      </c>
      <c r="N3091" s="1476">
        <v>2.0507912842211433</v>
      </c>
      <c r="O3091" s="1476"/>
    </row>
    <row r="3092" spans="11:15">
      <c r="K3092" s="1472">
        <v>45149</v>
      </c>
      <c r="L3092" s="1476" t="s">
        <v>2127</v>
      </c>
      <c r="M3092" s="851">
        <v>5.0788E-2</v>
      </c>
      <c r="N3092" s="1476">
        <v>2.0518328400985735</v>
      </c>
      <c r="O3092" s="1476"/>
    </row>
    <row r="3093" spans="11:15">
      <c r="K3093" s="1472">
        <v>45150</v>
      </c>
      <c r="L3093" s="1476"/>
      <c r="M3093" s="851">
        <v>0</v>
      </c>
      <c r="N3093" s="1476">
        <v>2.0518328400985735</v>
      </c>
      <c r="O3093" s="1476"/>
    </row>
    <row r="3094" spans="11:15">
      <c r="K3094" s="1472">
        <v>45151</v>
      </c>
      <c r="L3094" s="1476"/>
      <c r="M3094" s="851">
        <v>0</v>
      </c>
      <c r="N3094" s="1476">
        <v>2.0518328400985735</v>
      </c>
      <c r="O3094" s="1476"/>
    </row>
    <row r="3095" spans="11:15">
      <c r="K3095" s="1472">
        <v>45152</v>
      </c>
      <c r="L3095" s="1476" t="s">
        <v>2127</v>
      </c>
      <c r="M3095" s="851">
        <v>5.0788E-2</v>
      </c>
      <c r="N3095" s="1476">
        <v>2.0528749249614027</v>
      </c>
      <c r="O3095" s="1476"/>
    </row>
    <row r="3096" spans="11:15">
      <c r="K3096" s="1472">
        <v>45153</v>
      </c>
      <c r="L3096" s="1476" t="s">
        <v>2127</v>
      </c>
      <c r="M3096" s="851">
        <v>5.0788E-2</v>
      </c>
      <c r="N3096" s="1476">
        <v>2.053917539078292</v>
      </c>
      <c r="O3096" s="1476"/>
    </row>
    <row r="3097" spans="11:15">
      <c r="K3097" s="1472">
        <v>45154</v>
      </c>
      <c r="L3097" s="1476" t="s">
        <v>2127</v>
      </c>
      <c r="M3097" s="851">
        <v>5.0788E-2</v>
      </c>
      <c r="N3097" s="1476">
        <v>2.0549606827180393</v>
      </c>
      <c r="O3097" s="1476"/>
    </row>
    <row r="3098" spans="11:15">
      <c r="K3098" s="1472">
        <v>45155</v>
      </c>
      <c r="L3098" s="1476" t="s">
        <v>2127</v>
      </c>
      <c r="M3098" s="851">
        <v>5.0788E-2</v>
      </c>
      <c r="N3098" s="1476">
        <v>2.056004356149578</v>
      </c>
      <c r="O3098" s="1476"/>
    </row>
    <row r="3099" spans="11:15">
      <c r="K3099" s="1472">
        <v>45156</v>
      </c>
      <c r="L3099" s="1476" t="s">
        <v>2127</v>
      </c>
      <c r="M3099" s="851">
        <v>5.0788E-2</v>
      </c>
      <c r="N3099" s="1476">
        <v>2.0570485596419794</v>
      </c>
      <c r="O3099" s="1476"/>
    </row>
    <row r="3100" spans="11:15">
      <c r="K3100" s="1472">
        <v>45157</v>
      </c>
      <c r="L3100" s="1476"/>
      <c r="M3100" s="851">
        <v>0</v>
      </c>
      <c r="N3100" s="1476">
        <v>2.0570485596419794</v>
      </c>
      <c r="O3100" s="1476"/>
    </row>
    <row r="3101" spans="11:15">
      <c r="K3101" s="1472">
        <v>45158</v>
      </c>
      <c r="L3101" s="1476"/>
      <c r="M3101" s="851">
        <v>0</v>
      </c>
      <c r="N3101" s="1476">
        <v>2.0570485596419794</v>
      </c>
      <c r="O3101" s="1476"/>
    </row>
    <row r="3102" spans="11:15">
      <c r="K3102" s="1472">
        <v>45159</v>
      </c>
      <c r="L3102" s="1476" t="s">
        <v>2127</v>
      </c>
      <c r="M3102" s="851">
        <v>5.0788E-2</v>
      </c>
      <c r="N3102" s="1476">
        <v>2.0580932934644505</v>
      </c>
      <c r="O3102" s="1476"/>
    </row>
    <row r="3103" spans="11:15">
      <c r="K3103" s="1472">
        <v>45160</v>
      </c>
      <c r="L3103" s="1476" t="s">
        <v>2127</v>
      </c>
      <c r="M3103" s="851">
        <v>5.0788E-2</v>
      </c>
      <c r="N3103" s="1476">
        <v>2.0591385578863353</v>
      </c>
      <c r="O3103" s="1476"/>
    </row>
    <row r="3104" spans="11:15">
      <c r="K3104" s="1472">
        <v>45161</v>
      </c>
      <c r="L3104" s="1476" t="s">
        <v>2127</v>
      </c>
      <c r="M3104" s="851">
        <v>5.0788E-2</v>
      </c>
      <c r="N3104" s="1476">
        <v>2.0601843531771147</v>
      </c>
      <c r="O3104" s="1476"/>
    </row>
    <row r="3105" spans="11:15">
      <c r="K3105" s="1472">
        <v>45162</v>
      </c>
      <c r="L3105" s="1476" t="s">
        <v>2127</v>
      </c>
      <c r="M3105" s="851">
        <v>5.0788E-2</v>
      </c>
      <c r="N3105" s="1476">
        <v>2.0612306796064064</v>
      </c>
      <c r="O3105" s="1476"/>
    </row>
    <row r="3106" spans="11:15">
      <c r="K3106" s="1472">
        <v>45163</v>
      </c>
      <c r="L3106" s="1476" t="s">
        <v>2127</v>
      </c>
      <c r="M3106" s="851">
        <v>5.0788E-2</v>
      </c>
      <c r="N3106" s="1476">
        <v>2.0622775374439648</v>
      </c>
      <c r="O3106" s="1476"/>
    </row>
    <row r="3107" spans="11:15">
      <c r="K3107" s="1472">
        <v>45164</v>
      </c>
      <c r="L3107" s="1476"/>
      <c r="M3107" s="851">
        <v>0</v>
      </c>
      <c r="N3107" s="1476">
        <v>2.0622775374439648</v>
      </c>
      <c r="O3107" s="1476"/>
    </row>
    <row r="3108" spans="11:15">
      <c r="K3108" s="1472">
        <v>45165</v>
      </c>
      <c r="L3108" s="1476"/>
      <c r="M3108" s="851">
        <v>0</v>
      </c>
      <c r="N3108" s="1476">
        <v>2.0622775374439648</v>
      </c>
      <c r="O3108" s="1476"/>
    </row>
    <row r="3109" spans="11:15">
      <c r="K3109" s="1472">
        <v>45166</v>
      </c>
      <c r="L3109" s="1476" t="s">
        <v>2127</v>
      </c>
      <c r="M3109" s="851">
        <v>5.0788E-2</v>
      </c>
      <c r="N3109" s="1476">
        <v>2.0633249269596821</v>
      </c>
      <c r="O3109" s="1476"/>
    </row>
    <row r="3110" spans="11:15">
      <c r="K3110" s="1472">
        <v>45167</v>
      </c>
      <c r="L3110" s="1476" t="s">
        <v>2127</v>
      </c>
      <c r="M3110" s="851">
        <v>5.0788E-2</v>
      </c>
      <c r="N3110" s="1476">
        <v>2.0643728484235866</v>
      </c>
      <c r="O3110" s="1476"/>
    </row>
    <row r="3111" spans="11:15">
      <c r="K3111" s="1472">
        <v>45168</v>
      </c>
      <c r="L3111" s="1476" t="s">
        <v>2127</v>
      </c>
      <c r="M3111" s="851">
        <v>5.0788E-2</v>
      </c>
      <c r="N3111" s="1476">
        <v>2.0654213021058441</v>
      </c>
      <c r="O3111" s="1476"/>
    </row>
    <row r="3112" spans="11:15">
      <c r="K3112" s="1472">
        <v>45169</v>
      </c>
      <c r="L3112" s="1476" t="s">
        <v>2127</v>
      </c>
      <c r="M3112" s="851">
        <v>5.0788E-2</v>
      </c>
      <c r="N3112" s="1476">
        <v>2.0664702882767578</v>
      </c>
      <c r="O3112" s="1476"/>
    </row>
    <row r="3113" spans="11:15">
      <c r="K3113" s="1472">
        <v>45170</v>
      </c>
      <c r="L3113" s="1476" t="s">
        <v>2127</v>
      </c>
      <c r="M3113" s="851">
        <v>5.0788E-2</v>
      </c>
      <c r="N3113" s="1476">
        <v>2.067519807206768</v>
      </c>
      <c r="O3113" s="1476"/>
    </row>
    <row r="3114" spans="11:15">
      <c r="K3114" s="1472">
        <v>45171</v>
      </c>
      <c r="L3114" s="1476"/>
      <c r="M3114" s="851">
        <v>0</v>
      </c>
      <c r="N3114" s="1476">
        <v>2.067519807206768</v>
      </c>
      <c r="O3114" s="1476"/>
    </row>
    <row r="3115" spans="11:15">
      <c r="K3115" s="1472">
        <v>45172</v>
      </c>
      <c r="L3115" s="1476"/>
      <c r="M3115" s="851">
        <v>0</v>
      </c>
      <c r="N3115" s="1476">
        <v>2.067519807206768</v>
      </c>
      <c r="O3115" s="1476"/>
    </row>
    <row r="3116" spans="11:15">
      <c r="K3116" s="1472">
        <v>45173</v>
      </c>
      <c r="L3116" s="1476" t="s">
        <v>2127</v>
      </c>
      <c r="M3116" s="851">
        <v>5.0788E-2</v>
      </c>
      <c r="N3116" s="1476">
        <v>2.0685698591664523</v>
      </c>
      <c r="O3116" s="1476"/>
    </row>
    <row r="3117" spans="11:15">
      <c r="K3117" s="1472">
        <v>45174</v>
      </c>
      <c r="L3117" s="1476" t="s">
        <v>2127</v>
      </c>
      <c r="M3117" s="851">
        <v>5.0788E-2</v>
      </c>
      <c r="N3117" s="1476">
        <v>2.0696204444265258</v>
      </c>
      <c r="O3117" s="1476"/>
    </row>
    <row r="3118" spans="11:15">
      <c r="K3118" s="1472">
        <v>45175</v>
      </c>
      <c r="L3118" s="1476" t="s">
        <v>2127</v>
      </c>
      <c r="M3118" s="851">
        <v>5.0788E-2</v>
      </c>
      <c r="N3118" s="1476">
        <v>2.0706715632578412</v>
      </c>
      <c r="O3118" s="1476"/>
    </row>
    <row r="3119" spans="11:15">
      <c r="K3119" s="1472">
        <v>45176</v>
      </c>
      <c r="L3119" s="1476"/>
      <c r="M3119" s="851">
        <v>0</v>
      </c>
      <c r="N3119" s="1476">
        <v>2.0706715632578412</v>
      </c>
      <c r="O3119" s="1476"/>
    </row>
    <row r="3120" spans="11:15">
      <c r="K3120" s="1472">
        <v>45177</v>
      </c>
      <c r="L3120" s="1476" t="s">
        <v>2127</v>
      </c>
      <c r="M3120" s="851">
        <v>5.0788E-2</v>
      </c>
      <c r="N3120" s="1476">
        <v>2.0717232159313888</v>
      </c>
      <c r="O3120" s="1476"/>
    </row>
    <row r="3121" spans="11:15">
      <c r="K3121" s="1472">
        <v>45178</v>
      </c>
      <c r="L3121" s="1476"/>
      <c r="M3121" s="851">
        <v>0</v>
      </c>
      <c r="N3121" s="1476">
        <v>2.0717232159313888</v>
      </c>
      <c r="O3121" s="1476"/>
    </row>
    <row r="3122" spans="11:15">
      <c r="K3122" s="1472">
        <v>45179</v>
      </c>
      <c r="L3122" s="1476"/>
      <c r="M3122" s="851">
        <v>0</v>
      </c>
      <c r="N3122" s="1476">
        <v>2.0717232159313888</v>
      </c>
      <c r="O3122" s="1476"/>
    </row>
    <row r="3123" spans="11:15">
      <c r="K3123" s="1472">
        <v>45180</v>
      </c>
      <c r="L3123" s="1476" t="s">
        <v>2127</v>
      </c>
      <c r="M3123" s="851">
        <v>5.0788E-2</v>
      </c>
      <c r="N3123" s="1476">
        <v>2.0727754027182961</v>
      </c>
      <c r="O3123" s="1476"/>
    </row>
    <row r="3124" spans="11:15">
      <c r="K3124" s="1472">
        <v>45181</v>
      </c>
      <c r="L3124" s="1476" t="s">
        <v>2127</v>
      </c>
      <c r="M3124" s="851">
        <v>5.0788E-2</v>
      </c>
      <c r="N3124" s="1476">
        <v>2.0738281238898288</v>
      </c>
      <c r="O3124" s="1476"/>
    </row>
    <row r="3125" spans="11:15">
      <c r="K3125" s="1472">
        <v>45182</v>
      </c>
      <c r="L3125" s="1476" t="s">
        <v>2127</v>
      </c>
      <c r="M3125" s="851">
        <v>5.0788E-2</v>
      </c>
      <c r="N3125" s="1476">
        <v>2.07488137971739</v>
      </c>
      <c r="O3125" s="1476"/>
    </row>
    <row r="3126" spans="11:15">
      <c r="K3126" s="1472">
        <v>45183</v>
      </c>
      <c r="L3126" s="1476" t="s">
        <v>2127</v>
      </c>
      <c r="M3126" s="851">
        <v>5.0788E-2</v>
      </c>
      <c r="N3126" s="1476">
        <v>2.0759351704725209</v>
      </c>
      <c r="O3126" s="1476"/>
    </row>
    <row r="3127" spans="11:15">
      <c r="K3127" s="1472">
        <v>45184</v>
      </c>
      <c r="L3127" s="1476" t="s">
        <v>2127</v>
      </c>
      <c r="M3127" s="851">
        <v>5.0788E-2</v>
      </c>
      <c r="N3127" s="1476">
        <v>2.0769894964269007</v>
      </c>
      <c r="O3127" s="1476"/>
    </row>
    <row r="3128" spans="11:15">
      <c r="K3128" s="1472">
        <v>45185</v>
      </c>
      <c r="L3128" s="1476"/>
      <c r="M3128" s="851">
        <v>0</v>
      </c>
      <c r="N3128" s="1476">
        <v>2.0769894964269007</v>
      </c>
      <c r="O3128" s="1476"/>
    </row>
    <row r="3129" spans="11:15">
      <c r="K3129" s="1472">
        <v>45186</v>
      </c>
      <c r="L3129" s="1476"/>
      <c r="M3129" s="851">
        <v>0</v>
      </c>
      <c r="N3129" s="1476">
        <v>2.0769894964269007</v>
      </c>
      <c r="O3129" s="1476"/>
    </row>
    <row r="3130" spans="11:15">
      <c r="K3130" s="1472">
        <v>45187</v>
      </c>
      <c r="L3130" s="1476" t="s">
        <v>2127</v>
      </c>
      <c r="M3130" s="851">
        <v>5.0788E-2</v>
      </c>
      <c r="N3130" s="1476">
        <v>2.0780443578523462</v>
      </c>
      <c r="O3130" s="1476"/>
    </row>
    <row r="3131" spans="11:15">
      <c r="K3131" s="1472">
        <v>45188</v>
      </c>
      <c r="L3131" s="1476" t="s">
        <v>2127</v>
      </c>
      <c r="M3131" s="851">
        <v>5.0788E-2</v>
      </c>
      <c r="N3131" s="1476">
        <v>2.0790997550208123</v>
      </c>
      <c r="O3131" s="1476"/>
    </row>
    <row r="3132" spans="11:15">
      <c r="K3132" s="1472">
        <v>45189</v>
      </c>
      <c r="L3132" s="1476" t="s">
        <v>2127</v>
      </c>
      <c r="M3132" s="851">
        <v>5.0788E-2</v>
      </c>
      <c r="N3132" s="1476">
        <v>2.0801556882043926</v>
      </c>
      <c r="O3132" s="1476"/>
    </row>
    <row r="3133" spans="11:15">
      <c r="K3133" s="1472">
        <v>45190</v>
      </c>
      <c r="L3133" s="1476" t="s">
        <v>2127</v>
      </c>
      <c r="M3133" s="851">
        <v>5.0788E-2</v>
      </c>
      <c r="N3133" s="1476">
        <v>2.081212157675318</v>
      </c>
      <c r="O3133" s="1476"/>
    </row>
    <row r="3134" spans="11:15">
      <c r="K3134" s="1472">
        <v>45191</v>
      </c>
      <c r="L3134" s="1476" t="s">
        <v>2127</v>
      </c>
      <c r="M3134" s="851">
        <v>5.0788E-2</v>
      </c>
      <c r="N3134" s="1476">
        <v>2.0822691637059583</v>
      </c>
      <c r="O3134" s="1476"/>
    </row>
    <row r="3135" spans="11:15">
      <c r="K3135" s="1472">
        <v>45192</v>
      </c>
      <c r="L3135" s="1476"/>
      <c r="M3135" s="851">
        <v>0</v>
      </c>
      <c r="N3135" s="1476">
        <v>2.0822691637059583</v>
      </c>
      <c r="O3135" s="1476"/>
    </row>
    <row r="3136" spans="11:15">
      <c r="K3136" s="1472">
        <v>45193</v>
      </c>
      <c r="L3136" s="1476"/>
      <c r="M3136" s="851">
        <v>0</v>
      </c>
      <c r="N3136" s="1476">
        <v>2.0822691637059583</v>
      </c>
      <c r="O3136" s="1476"/>
    </row>
    <row r="3137" spans="11:15">
      <c r="K3137" s="1472">
        <v>45194</v>
      </c>
      <c r="L3137" s="1476" t="s">
        <v>2127</v>
      </c>
      <c r="M3137" s="851">
        <v>5.0788E-2</v>
      </c>
      <c r="N3137" s="1476">
        <v>2.0833267065688212</v>
      </c>
      <c r="O3137" s="1476"/>
    </row>
    <row r="3138" spans="11:15">
      <c r="K3138" s="1472">
        <v>45195</v>
      </c>
      <c r="L3138" s="1476" t="s">
        <v>2127</v>
      </c>
      <c r="M3138" s="851">
        <v>5.0788E-2</v>
      </c>
      <c r="N3138" s="1476">
        <v>2.0843847865365532</v>
      </c>
      <c r="O3138" s="1476"/>
    </row>
    <row r="3139" spans="11:15">
      <c r="K3139" s="1472">
        <v>45196</v>
      </c>
      <c r="L3139" s="1476" t="s">
        <v>2127</v>
      </c>
      <c r="M3139" s="851">
        <v>5.0788E-2</v>
      </c>
      <c r="N3139" s="1476">
        <v>2.0854434038819396</v>
      </c>
      <c r="O3139" s="1476"/>
    </row>
    <row r="3140" spans="11:15">
      <c r="K3140" s="1472">
        <v>45197</v>
      </c>
      <c r="L3140" s="1476" t="s">
        <v>2127</v>
      </c>
      <c r="M3140" s="851">
        <v>5.0788E-2</v>
      </c>
      <c r="N3140" s="1476">
        <v>2.0865025588779034</v>
      </c>
      <c r="O3140" s="1476"/>
    </row>
    <row r="3141" spans="11:15">
      <c r="K3141" s="1472">
        <v>45198</v>
      </c>
      <c r="L3141" s="1476" t="s">
        <v>2127</v>
      </c>
      <c r="M3141" s="851">
        <v>5.0788E-2</v>
      </c>
      <c r="N3141" s="1476">
        <v>2.0875622517975061</v>
      </c>
      <c r="O3141" s="1476"/>
    </row>
    <row r="3142" spans="11:15">
      <c r="K3142" s="1472">
        <v>45199</v>
      </c>
      <c r="L3142" s="1476"/>
      <c r="M3142" s="851">
        <v>0</v>
      </c>
      <c r="N3142" s="1476">
        <v>2.0875622517975061</v>
      </c>
      <c r="O3142" s="1476"/>
    </row>
    <row r="3143" spans="11:15">
      <c r="K3143" s="1472">
        <v>45200</v>
      </c>
      <c r="L3143" s="1476"/>
      <c r="M3143" s="851">
        <v>0</v>
      </c>
      <c r="N3143" s="1476">
        <v>2.0875622517975061</v>
      </c>
      <c r="O3143" s="1476"/>
    </row>
    <row r="3144" spans="11:15">
      <c r="K3144" s="1472">
        <v>45201</v>
      </c>
      <c r="L3144" s="1476" t="s">
        <v>2127</v>
      </c>
      <c r="M3144" s="851">
        <v>5.0788E-2</v>
      </c>
      <c r="N3144" s="1476">
        <v>2.0886224829139493</v>
      </c>
      <c r="O3144" s="1476"/>
    </row>
    <row r="3145" spans="11:15">
      <c r="K3145" s="1472">
        <v>45202</v>
      </c>
      <c r="L3145" s="1476" t="s">
        <v>2127</v>
      </c>
      <c r="M3145" s="851">
        <v>5.0788E-2</v>
      </c>
      <c r="N3145" s="1476">
        <v>2.0896832525005715</v>
      </c>
      <c r="O3145" s="1476"/>
    </row>
    <row r="3146" spans="11:15">
      <c r="K3146" s="1472">
        <v>45203</v>
      </c>
      <c r="L3146" s="1476" t="s">
        <v>2127</v>
      </c>
      <c r="M3146" s="851">
        <v>5.0788E-2</v>
      </c>
      <c r="N3146" s="1476">
        <v>2.0907445608308515</v>
      </c>
      <c r="O3146" s="1476"/>
    </row>
    <row r="3147" spans="11:15">
      <c r="K3147" s="1472">
        <v>45204</v>
      </c>
      <c r="L3147" s="1476" t="s">
        <v>2127</v>
      </c>
      <c r="M3147" s="851">
        <v>5.0788E-2</v>
      </c>
      <c r="N3147" s="1476">
        <v>2.0918064081784062</v>
      </c>
      <c r="O3147" s="1476"/>
    </row>
    <row r="3148" spans="11:15">
      <c r="K3148" s="1472">
        <v>45205</v>
      </c>
      <c r="L3148" s="1476" t="s">
        <v>2127</v>
      </c>
      <c r="M3148" s="851">
        <v>5.0788E-2</v>
      </c>
      <c r="N3148" s="1476">
        <v>2.092868794816992</v>
      </c>
      <c r="O3148" s="1476"/>
    </row>
    <row r="3149" spans="11:15">
      <c r="K3149" s="1472">
        <v>45206</v>
      </c>
      <c r="L3149" s="1476"/>
      <c r="M3149" s="851">
        <v>0</v>
      </c>
      <c r="N3149" s="1476">
        <v>2.092868794816992</v>
      </c>
      <c r="O3149" s="1476"/>
    </row>
    <row r="3150" spans="11:15">
      <c r="K3150" s="1472">
        <v>45207</v>
      </c>
      <c r="L3150" s="1476"/>
      <c r="M3150" s="851">
        <v>0</v>
      </c>
      <c r="N3150" s="1476">
        <v>2.092868794816992</v>
      </c>
      <c r="O3150" s="1476"/>
    </row>
    <row r="3151" spans="11:15">
      <c r="K3151" s="1472">
        <v>45208</v>
      </c>
      <c r="L3151" s="1476" t="s">
        <v>2127</v>
      </c>
      <c r="M3151" s="851">
        <v>5.0788E-2</v>
      </c>
      <c r="N3151" s="1476">
        <v>2.0939317210205037</v>
      </c>
      <c r="O3151" s="1476"/>
    </row>
    <row r="3152" spans="11:15">
      <c r="K3152" s="1472">
        <v>45209</v>
      </c>
      <c r="L3152" s="1476" t="s">
        <v>2127</v>
      </c>
      <c r="M3152" s="851">
        <v>5.0788E-2</v>
      </c>
      <c r="N3152" s="1476">
        <v>2.0949951870629757</v>
      </c>
      <c r="O3152" s="1476"/>
    </row>
    <row r="3153" spans="11:15">
      <c r="K3153" s="1472">
        <v>45210</v>
      </c>
      <c r="L3153" s="1476" t="s">
        <v>2127</v>
      </c>
      <c r="M3153" s="851">
        <v>5.0788E-2</v>
      </c>
      <c r="N3153" s="1476">
        <v>2.0960591932185815</v>
      </c>
      <c r="O3153" s="1476"/>
    </row>
    <row r="3154" spans="11:15">
      <c r="K3154" s="1472">
        <v>45211</v>
      </c>
      <c r="L3154" s="1476"/>
      <c r="M3154" s="851">
        <v>0</v>
      </c>
      <c r="N3154" s="1476">
        <v>2.0960591932185815</v>
      </c>
      <c r="O3154" s="1476"/>
    </row>
    <row r="3155" spans="11:15">
      <c r="K3155" s="1472">
        <v>45212</v>
      </c>
      <c r="L3155" s="1476" t="s">
        <v>2127</v>
      </c>
      <c r="M3155" s="851">
        <v>5.0788E-2</v>
      </c>
      <c r="N3155" s="1476">
        <v>2.0971237397616336</v>
      </c>
      <c r="O3155" s="1476"/>
    </row>
    <row r="3156" spans="11:15">
      <c r="K3156" s="1472">
        <v>45213</v>
      </c>
      <c r="L3156" s="1476"/>
      <c r="M3156" s="851">
        <v>0</v>
      </c>
      <c r="N3156" s="1476">
        <v>2.0971237397616336</v>
      </c>
      <c r="O3156" s="1476"/>
    </row>
    <row r="3157" spans="11:15">
      <c r="K3157" s="1472">
        <v>45214</v>
      </c>
      <c r="L3157" s="1476"/>
      <c r="M3157" s="851">
        <v>0</v>
      </c>
      <c r="N3157" s="1476">
        <v>2.0971237397616336</v>
      </c>
      <c r="O3157" s="1476"/>
    </row>
    <row r="3158" spans="11:15">
      <c r="K3158" s="1472">
        <v>45215</v>
      </c>
      <c r="L3158" s="1476" t="s">
        <v>2127</v>
      </c>
      <c r="M3158" s="851">
        <v>5.0788E-2</v>
      </c>
      <c r="N3158" s="1476">
        <v>2.0981888269665836</v>
      </c>
      <c r="O3158" s="1476"/>
    </row>
    <row r="3159" spans="11:15">
      <c r="K3159" s="1472">
        <v>45216</v>
      </c>
      <c r="L3159" s="1476" t="s">
        <v>2127</v>
      </c>
      <c r="M3159" s="851">
        <v>5.0788E-2</v>
      </c>
      <c r="N3159" s="1476">
        <v>2.0992544551080234</v>
      </c>
      <c r="O3159" s="1476"/>
    </row>
    <row r="3160" spans="11:15">
      <c r="K3160" s="1472">
        <v>45217</v>
      </c>
      <c r="L3160" s="1476" t="s">
        <v>2127</v>
      </c>
      <c r="M3160" s="851">
        <v>5.0788E-2</v>
      </c>
      <c r="N3160" s="1476">
        <v>2.1003206244606836</v>
      </c>
      <c r="O3160" s="1476"/>
    </row>
    <row r="3161" spans="11:15">
      <c r="K3161" s="1472">
        <v>45218</v>
      </c>
      <c r="L3161" s="1476" t="s">
        <v>2127</v>
      </c>
      <c r="M3161" s="851">
        <v>5.0788E-2</v>
      </c>
      <c r="N3161" s="1476">
        <v>2.1013873352994348</v>
      </c>
      <c r="O3161" s="1476"/>
    </row>
    <row r="3162" spans="11:15">
      <c r="K3162" s="1472">
        <v>45219</v>
      </c>
      <c r="L3162" s="1476" t="s">
        <v>2127</v>
      </c>
      <c r="M3162" s="851">
        <v>5.0788E-2</v>
      </c>
      <c r="N3162" s="1476">
        <v>2.1024545878992869</v>
      </c>
      <c r="O3162" s="1476"/>
    </row>
    <row r="3163" spans="11:15">
      <c r="K3163" s="1472">
        <v>45220</v>
      </c>
      <c r="L3163" s="1476"/>
      <c r="M3163" s="851">
        <v>0</v>
      </c>
      <c r="N3163" s="1476">
        <v>2.1024545878992869</v>
      </c>
      <c r="O3163" s="1476"/>
    </row>
    <row r="3164" spans="11:15">
      <c r="K3164" s="1472">
        <v>45221</v>
      </c>
      <c r="L3164" s="1476"/>
      <c r="M3164" s="851">
        <v>0</v>
      </c>
      <c r="N3164" s="1476">
        <v>2.1024545878992869</v>
      </c>
      <c r="O3164" s="1476"/>
    </row>
    <row r="3165" spans="11:15">
      <c r="K3165" s="1472">
        <v>45222</v>
      </c>
      <c r="L3165" s="1476" t="s">
        <v>2127</v>
      </c>
      <c r="M3165" s="851">
        <v>5.0788E-2</v>
      </c>
      <c r="N3165" s="1476">
        <v>2.103522382535389</v>
      </c>
      <c r="O3165" s="1476"/>
    </row>
    <row r="3166" spans="11:15">
      <c r="K3166" s="1472">
        <v>45223</v>
      </c>
      <c r="L3166" s="1476" t="s">
        <v>2127</v>
      </c>
      <c r="M3166" s="851">
        <v>5.0788E-2</v>
      </c>
      <c r="N3166" s="1476">
        <v>2.1045907194830313</v>
      </c>
      <c r="O3166" s="1476"/>
    </row>
    <row r="3167" spans="11:15">
      <c r="K3167" s="1472">
        <v>45224</v>
      </c>
      <c r="L3167" s="1476" t="s">
        <v>2127</v>
      </c>
      <c r="M3167" s="851">
        <v>5.0788E-2</v>
      </c>
      <c r="N3167" s="1476">
        <v>2.1056595990176423</v>
      </c>
      <c r="O3167" s="1476"/>
    </row>
    <row r="3168" spans="11:15">
      <c r="K3168" s="1472">
        <v>45225</v>
      </c>
      <c r="L3168" s="1476" t="s">
        <v>2127</v>
      </c>
      <c r="M3168" s="851">
        <v>5.0788E-2</v>
      </c>
      <c r="N3168" s="1476">
        <v>2.1067290214147913</v>
      </c>
      <c r="O3168" s="1476"/>
    </row>
    <row r="3169" spans="11:15">
      <c r="K3169" s="1472">
        <v>45226</v>
      </c>
      <c r="L3169" s="1476" t="s">
        <v>2127</v>
      </c>
      <c r="M3169" s="851">
        <v>5.0788E-2</v>
      </c>
      <c r="N3169" s="1476">
        <v>2.1077989869501876</v>
      </c>
      <c r="O3169" s="1476"/>
    </row>
    <row r="3170" spans="11:15">
      <c r="K3170" s="1472">
        <v>45227</v>
      </c>
      <c r="L3170" s="1476"/>
      <c r="M3170" s="851">
        <v>0</v>
      </c>
      <c r="N3170" s="1476">
        <v>2.1077989869501876</v>
      </c>
      <c r="O3170" s="1476"/>
    </row>
    <row r="3171" spans="11:15">
      <c r="K3171" s="1472">
        <v>45228</v>
      </c>
      <c r="L3171" s="1476"/>
      <c r="M3171" s="851">
        <v>0</v>
      </c>
      <c r="N3171" s="1476">
        <v>2.1077989869501876</v>
      </c>
      <c r="O3171" s="1476"/>
    </row>
    <row r="3172" spans="11:15">
      <c r="K3172" s="1472">
        <v>45229</v>
      </c>
      <c r="L3172" s="1476" t="s">
        <v>2127</v>
      </c>
      <c r="M3172" s="851">
        <v>5.0788E-2</v>
      </c>
      <c r="N3172" s="1476">
        <v>2.1088694958996799</v>
      </c>
      <c r="O3172" s="1476"/>
    </row>
    <row r="3173" spans="11:15">
      <c r="K3173" s="1472">
        <v>45230</v>
      </c>
      <c r="L3173" s="1476" t="s">
        <v>2127</v>
      </c>
      <c r="M3173" s="851">
        <v>5.0788E-2</v>
      </c>
      <c r="N3173" s="1476">
        <v>2.1099405485392575</v>
      </c>
      <c r="O3173" s="1476"/>
    </row>
    <row r="3174" spans="11:15">
      <c r="K3174" s="1472">
        <v>45231</v>
      </c>
      <c r="L3174" s="1476" t="s">
        <v>2127</v>
      </c>
      <c r="M3174" s="851">
        <v>5.0788E-2</v>
      </c>
      <c r="N3174" s="1476">
        <v>2.1110121451450499</v>
      </c>
      <c r="O3174" s="1476"/>
    </row>
    <row r="3175" spans="11:15">
      <c r="K3175" s="1472">
        <v>45232</v>
      </c>
      <c r="L3175" s="1476"/>
      <c r="M3175" s="851">
        <v>0</v>
      </c>
      <c r="N3175" s="1476">
        <v>2.1110121451450499</v>
      </c>
      <c r="O3175" s="1476"/>
    </row>
    <row r="3176" spans="11:15">
      <c r="K3176" s="1472">
        <v>45233</v>
      </c>
      <c r="L3176" s="1476" t="s">
        <v>2127</v>
      </c>
      <c r="M3176" s="851">
        <v>5.0788E-2</v>
      </c>
      <c r="N3176" s="1476">
        <v>2.1120842859933262</v>
      </c>
      <c r="O3176" s="1476"/>
    </row>
    <row r="3177" spans="11:15">
      <c r="K3177" s="1472">
        <v>45234</v>
      </c>
      <c r="L3177" s="1476"/>
      <c r="M3177" s="851">
        <v>0</v>
      </c>
      <c r="N3177" s="1476">
        <v>2.1120842859933262</v>
      </c>
      <c r="O3177" s="1476"/>
    </row>
    <row r="3178" spans="11:15">
      <c r="K3178" s="1472">
        <v>45235</v>
      </c>
      <c r="L3178" s="1476"/>
      <c r="M3178" s="851">
        <v>0</v>
      </c>
      <c r="N3178" s="1476">
        <v>2.1120842859933262</v>
      </c>
      <c r="O3178" s="1476"/>
    </row>
    <row r="3179" spans="11:15">
      <c r="K3179" s="1472">
        <v>45236</v>
      </c>
      <c r="L3179" s="1476" t="s">
        <v>2127</v>
      </c>
      <c r="M3179" s="851">
        <v>5.0788E-2</v>
      </c>
      <c r="N3179" s="1476">
        <v>2.1131569713604965</v>
      </c>
      <c r="O3179" s="1476"/>
    </row>
    <row r="3180" spans="11:15">
      <c r="K3180" s="1472">
        <v>45237</v>
      </c>
      <c r="L3180" s="1476" t="s">
        <v>2127</v>
      </c>
      <c r="M3180" s="851">
        <v>5.0788E-2</v>
      </c>
      <c r="N3180" s="1476">
        <v>2.1142302015231111</v>
      </c>
      <c r="O3180" s="1476"/>
    </row>
    <row r="3181" spans="11:15">
      <c r="K3181" s="1472">
        <v>45238</v>
      </c>
      <c r="L3181" s="1476" t="s">
        <v>2127</v>
      </c>
      <c r="M3181" s="851">
        <v>5.0788E-2</v>
      </c>
      <c r="N3181" s="1476">
        <v>2.1153039767578607</v>
      </c>
      <c r="O3181" s="1476"/>
    </row>
    <row r="3182" spans="11:15">
      <c r="K3182" s="1472">
        <v>45239</v>
      </c>
      <c r="L3182" s="1476" t="s">
        <v>2127</v>
      </c>
      <c r="M3182" s="851">
        <v>5.0788E-2</v>
      </c>
      <c r="N3182" s="1476">
        <v>2.1163782973415768</v>
      </c>
      <c r="O3182" s="1476"/>
    </row>
    <row r="3183" spans="11:15">
      <c r="K3183" s="1472">
        <v>45240</v>
      </c>
      <c r="L3183" s="1476" t="s">
        <v>2127</v>
      </c>
      <c r="M3183" s="851">
        <v>5.0788E-2</v>
      </c>
      <c r="N3183" s="1476">
        <v>2.1174531635512306</v>
      </c>
      <c r="O3183" s="1476"/>
    </row>
    <row r="3184" spans="11:15">
      <c r="K3184" s="1472">
        <v>45241</v>
      </c>
      <c r="L3184" s="1476"/>
      <c r="M3184" s="851">
        <v>0</v>
      </c>
      <c r="N3184" s="1476">
        <v>2.1174531635512306</v>
      </c>
      <c r="O3184" s="1476"/>
    </row>
    <row r="3185" spans="11:15">
      <c r="K3185" s="1472">
        <v>45242</v>
      </c>
      <c r="L3185" s="1476"/>
      <c r="M3185" s="851">
        <v>0</v>
      </c>
      <c r="N3185" s="1476">
        <v>2.1174531635512306</v>
      </c>
      <c r="O3185" s="1476"/>
    </row>
    <row r="3186" spans="11:15">
      <c r="K3186" s="1472">
        <v>45243</v>
      </c>
      <c r="L3186" s="1476" t="s">
        <v>2127</v>
      </c>
      <c r="M3186" s="851">
        <v>5.0788E-2</v>
      </c>
      <c r="N3186" s="1476">
        <v>2.1185285756639352</v>
      </c>
      <c r="O3186" s="1476"/>
    </row>
    <row r="3187" spans="11:15">
      <c r="K3187" s="1472">
        <v>45244</v>
      </c>
      <c r="L3187" s="1476" t="s">
        <v>2127</v>
      </c>
      <c r="M3187" s="851">
        <v>5.0788E-2</v>
      </c>
      <c r="N3187" s="1476">
        <v>2.1196045339569434</v>
      </c>
      <c r="O3187" s="1476"/>
    </row>
    <row r="3188" spans="11:15">
      <c r="K3188" s="1472">
        <v>45245</v>
      </c>
      <c r="L3188" s="1476"/>
      <c r="M3188" s="851">
        <v>0</v>
      </c>
      <c r="N3188" s="1476">
        <v>2.1196045339569434</v>
      </c>
      <c r="O3188" s="1476"/>
    </row>
    <row r="3189" spans="11:15">
      <c r="K3189" s="1472">
        <v>45246</v>
      </c>
      <c r="L3189" s="1476" t="s">
        <v>2127</v>
      </c>
      <c r="M3189" s="851">
        <v>5.0788E-2</v>
      </c>
      <c r="N3189" s="1476">
        <v>2.1206810387076493</v>
      </c>
      <c r="O3189" s="1476"/>
    </row>
    <row r="3190" spans="11:15">
      <c r="K3190" s="1472">
        <v>45247</v>
      </c>
      <c r="L3190" s="1476" t="s">
        <v>2127</v>
      </c>
      <c r="M3190" s="851">
        <v>5.0788E-2</v>
      </c>
      <c r="N3190" s="1476">
        <v>2.1217580901935884</v>
      </c>
      <c r="O3190" s="1476"/>
    </row>
    <row r="3191" spans="11:15">
      <c r="K3191" s="1472">
        <v>45248</v>
      </c>
      <c r="L3191" s="1476"/>
      <c r="M3191" s="851">
        <v>0</v>
      </c>
      <c r="N3191" s="1476">
        <v>2.1217580901935884</v>
      </c>
      <c r="O3191" s="1476"/>
    </row>
    <row r="3192" spans="11:15">
      <c r="K3192" s="1472">
        <v>45249</v>
      </c>
      <c r="L3192" s="1476"/>
      <c r="M3192" s="851">
        <v>0</v>
      </c>
      <c r="N3192" s="1476">
        <v>2.1217580901935884</v>
      </c>
      <c r="O3192" s="1476"/>
    </row>
    <row r="3193" spans="11:15">
      <c r="K3193" s="1472">
        <v>45250</v>
      </c>
      <c r="L3193" s="1476" t="s">
        <v>2127</v>
      </c>
      <c r="M3193" s="851">
        <v>5.0788E-2</v>
      </c>
      <c r="N3193" s="1476">
        <v>2.1228356886924358</v>
      </c>
      <c r="O3193" s="1476"/>
    </row>
    <row r="3194" spans="11:15">
      <c r="K3194" s="1472">
        <v>45251</v>
      </c>
      <c r="L3194" s="1476" t="s">
        <v>2127</v>
      </c>
      <c r="M3194" s="851">
        <v>5.0788E-2</v>
      </c>
      <c r="N3194" s="1476">
        <v>2.1239138344820088</v>
      </c>
      <c r="O3194" s="1476"/>
    </row>
    <row r="3195" spans="11:15">
      <c r="K3195" s="1472">
        <v>45252</v>
      </c>
      <c r="L3195" s="1476" t="s">
        <v>2127</v>
      </c>
      <c r="M3195" s="851">
        <v>5.0788E-2</v>
      </c>
      <c r="N3195" s="1476">
        <v>2.1249925278402655</v>
      </c>
      <c r="O3195" s="1476"/>
    </row>
    <row r="3196" spans="11:15">
      <c r="K3196" s="1472">
        <v>45253</v>
      </c>
      <c r="L3196" s="1476" t="s">
        <v>2127</v>
      </c>
      <c r="M3196" s="851">
        <v>5.0788E-2</v>
      </c>
      <c r="N3196" s="1476">
        <v>2.1260717690453048</v>
      </c>
      <c r="O3196" s="1476"/>
    </row>
    <row r="3197" spans="11:15">
      <c r="K3197" s="1472">
        <v>45254</v>
      </c>
      <c r="L3197" s="1476" t="s">
        <v>2127</v>
      </c>
      <c r="M3197" s="851">
        <v>5.0788E-2</v>
      </c>
      <c r="N3197" s="1476">
        <v>2.1271515583753677</v>
      </c>
      <c r="O3197" s="1476"/>
    </row>
    <row r="3198" spans="11:15">
      <c r="K3198" s="1472">
        <v>45255</v>
      </c>
      <c r="L3198" s="1476"/>
      <c r="M3198" s="851">
        <v>0</v>
      </c>
      <c r="N3198" s="1476">
        <v>2.1271515583753677</v>
      </c>
      <c r="O3198" s="1476"/>
    </row>
    <row r="3199" spans="11:15">
      <c r="K3199" s="1472">
        <v>45256</v>
      </c>
      <c r="L3199" s="1476"/>
      <c r="M3199" s="851">
        <v>0</v>
      </c>
      <c r="N3199" s="1476">
        <v>2.1271515583753677</v>
      </c>
      <c r="O3199" s="1476"/>
    </row>
    <row r="3200" spans="11:15">
      <c r="K3200" s="1472">
        <v>45257</v>
      </c>
      <c r="L3200" s="1476" t="s">
        <v>2127</v>
      </c>
      <c r="M3200" s="851">
        <v>5.0788E-2</v>
      </c>
      <c r="N3200" s="1476">
        <v>2.1282318961088356</v>
      </c>
      <c r="O3200" s="1476"/>
    </row>
    <row r="3201" spans="11:15">
      <c r="K3201" s="1472">
        <v>45258</v>
      </c>
      <c r="L3201" s="1476" t="s">
        <v>2127</v>
      </c>
      <c r="M3201" s="851">
        <v>5.0788E-2</v>
      </c>
      <c r="N3201" s="1476">
        <v>2.1293127825242313</v>
      </c>
      <c r="O3201" s="1476"/>
    </row>
    <row r="3202" spans="11:15">
      <c r="K3202" s="1472">
        <v>45259</v>
      </c>
      <c r="L3202" s="1476" t="s">
        <v>2127</v>
      </c>
      <c r="M3202" s="851">
        <v>5.0788E-2</v>
      </c>
      <c r="N3202" s="1476">
        <v>2.1303942179002195</v>
      </c>
      <c r="O3202" s="1476"/>
    </row>
    <row r="3203" spans="11:15">
      <c r="K3203" s="1472">
        <v>45260</v>
      </c>
      <c r="L3203" s="1476" t="s">
        <v>2127</v>
      </c>
      <c r="M3203" s="851">
        <v>5.0788E-2</v>
      </c>
      <c r="N3203" s="1476">
        <v>2.1314762025156067</v>
      </c>
      <c r="O3203" s="1476"/>
    </row>
    <row r="3204" spans="11:15">
      <c r="K3204" s="1472">
        <v>45261</v>
      </c>
      <c r="L3204" s="1476" t="s">
        <v>2127</v>
      </c>
      <c r="M3204" s="851">
        <v>5.0788E-2</v>
      </c>
      <c r="N3204" s="1476">
        <v>2.1325587366493401</v>
      </c>
      <c r="O3204" s="1476"/>
    </row>
    <row r="3205" spans="11:15">
      <c r="K3205" s="1472">
        <v>45262</v>
      </c>
      <c r="L3205" s="1476"/>
      <c r="M3205" s="851">
        <v>0</v>
      </c>
      <c r="N3205" s="1476">
        <v>2.1325587366493401</v>
      </c>
      <c r="O3205" s="1476"/>
    </row>
    <row r="3206" spans="11:15">
      <c r="K3206" s="1472">
        <v>45263</v>
      </c>
      <c r="L3206" s="1476"/>
      <c r="M3206" s="851">
        <v>0</v>
      </c>
      <c r="N3206" s="1476">
        <v>2.1325587366493401</v>
      </c>
      <c r="O3206" s="1476"/>
    </row>
    <row r="3207" spans="11:15">
      <c r="K3207" s="1472">
        <v>45264</v>
      </c>
      <c r="L3207" s="1476" t="s">
        <v>2127</v>
      </c>
      <c r="M3207" s="851">
        <v>5.0788E-2</v>
      </c>
      <c r="N3207" s="1476">
        <v>2.1336418205805097</v>
      </c>
      <c r="O3207" s="1476"/>
    </row>
    <row r="3208" spans="11:15">
      <c r="K3208" s="1472">
        <v>45265</v>
      </c>
      <c r="L3208" s="1476" t="s">
        <v>2127</v>
      </c>
      <c r="M3208" s="851">
        <v>5.0788E-2</v>
      </c>
      <c r="N3208" s="1476">
        <v>2.1347254545883461</v>
      </c>
      <c r="O3208" s="1476"/>
    </row>
    <row r="3209" spans="11:15">
      <c r="K3209" s="1472">
        <v>45266</v>
      </c>
      <c r="L3209" s="1476" t="s">
        <v>2127</v>
      </c>
      <c r="M3209" s="851">
        <v>5.0788E-2</v>
      </c>
      <c r="N3209" s="1476">
        <v>2.1358096389522223</v>
      </c>
      <c r="O3209" s="1476"/>
    </row>
    <row r="3210" spans="11:15">
      <c r="K3210" s="1472">
        <v>45267</v>
      </c>
      <c r="L3210" s="1476" t="s">
        <v>2127</v>
      </c>
      <c r="M3210" s="851">
        <v>5.0788E-2</v>
      </c>
      <c r="N3210" s="1476">
        <v>2.1368943739516535</v>
      </c>
      <c r="O3210" s="1476"/>
    </row>
    <row r="3211" spans="11:15">
      <c r="K3211" s="1472">
        <v>45268</v>
      </c>
      <c r="L3211" s="1476" t="s">
        <v>2127</v>
      </c>
      <c r="M3211" s="851">
        <v>5.0788E-2</v>
      </c>
      <c r="N3211" s="1476">
        <v>2.1379796598662959</v>
      </c>
      <c r="O3211" s="1476"/>
    </row>
    <row r="3212" spans="11:15">
      <c r="K3212" s="1472">
        <v>45269</v>
      </c>
      <c r="L3212" s="1476"/>
      <c r="M3212" s="851">
        <v>0</v>
      </c>
      <c r="N3212" s="1476">
        <v>2.1379796598662959</v>
      </c>
      <c r="O3212" s="1476"/>
    </row>
    <row r="3213" spans="11:15">
      <c r="K3213" s="1472">
        <v>45270</v>
      </c>
      <c r="L3213" s="1476"/>
      <c r="M3213" s="851">
        <v>0</v>
      </c>
      <c r="N3213" s="1476">
        <v>2.1379796598662959</v>
      </c>
      <c r="O3213" s="1476"/>
    </row>
    <row r="3214" spans="11:15">
      <c r="K3214" s="1472">
        <v>45271</v>
      </c>
      <c r="L3214" s="1476" t="s">
        <v>2127</v>
      </c>
      <c r="M3214" s="851">
        <v>5.0788E-2</v>
      </c>
      <c r="N3214" s="1476">
        <v>2.1390654969759488</v>
      </c>
      <c r="O3214" s="1476"/>
    </row>
    <row r="3215" spans="11:15">
      <c r="K3215" s="1472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72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72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72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72">
        <v>45276</v>
      </c>
      <c r="M3219" s="1">
        <v>0</v>
      </c>
      <c r="N3219" s="1">
        <v>2.1434143629656153</v>
      </c>
    </row>
    <row r="3220" spans="11:14">
      <c r="K3220" s="1472">
        <v>45277</v>
      </c>
      <c r="M3220" s="1">
        <v>0</v>
      </c>
      <c r="N3220" s="1">
        <v>2.1434143629656153</v>
      </c>
    </row>
    <row r="3221" spans="11:14">
      <c r="K3221" s="1472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72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72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72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72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72">
        <v>45283</v>
      </c>
      <c r="M3226" s="1">
        <v>0</v>
      </c>
      <c r="N3226" s="1">
        <v>2.1488628809754942</v>
      </c>
    </row>
    <row r="3227" spans="11:14">
      <c r="K3227" s="1472">
        <v>45284</v>
      </c>
      <c r="M3227" s="1">
        <v>0</v>
      </c>
      <c r="N3227" s="1">
        <v>2.1488628809754942</v>
      </c>
    </row>
    <row r="3228" spans="11:14">
      <c r="K3228" s="1472">
        <v>45285</v>
      </c>
      <c r="M3228" s="1">
        <v>0</v>
      </c>
      <c r="N3228" s="1">
        <v>2.1488628809754942</v>
      </c>
    </row>
    <row r="3229" spans="11:14">
      <c r="K3229" s="1472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72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72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72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72">
        <v>45290</v>
      </c>
      <c r="M3233" s="1">
        <v>0</v>
      </c>
      <c r="N3233" s="1">
        <v>2.1532316657147845</v>
      </c>
    </row>
    <row r="3234" spans="11:14">
      <c r="K3234" s="1472">
        <v>45291</v>
      </c>
      <c r="M3234" s="1">
        <v>0</v>
      </c>
      <c r="N3234" s="1">
        <v>2.1532316657147845</v>
      </c>
    </row>
    <row r="3235" spans="11:14">
      <c r="K3235" s="1472">
        <v>45292</v>
      </c>
      <c r="M3235" s="1">
        <v>0</v>
      </c>
      <c r="N3235" s="1">
        <v>2.1532316657147845</v>
      </c>
    </row>
    <row r="3236" spans="11:14">
      <c r="K3236" s="1472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72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72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72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72">
        <v>45297</v>
      </c>
      <c r="M3240" s="1">
        <v>0</v>
      </c>
      <c r="N3240" s="1">
        <v>2.1576093324912993</v>
      </c>
    </row>
    <row r="3241" spans="11:14">
      <c r="K3241" s="1472">
        <v>45298</v>
      </c>
      <c r="M3241" s="1">
        <v>0</v>
      </c>
      <c r="N3241" s="1">
        <v>2.1576093324912993</v>
      </c>
    </row>
    <row r="3242" spans="11:14">
      <c r="K3242" s="1472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72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72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72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72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72">
        <v>45304</v>
      </c>
      <c r="M3247" s="1">
        <v>0</v>
      </c>
      <c r="N3247" s="1">
        <v>2.1630939338401936</v>
      </c>
    </row>
    <row r="3248" spans="11:14">
      <c r="K3248" s="1472">
        <v>45305</v>
      </c>
      <c r="M3248" s="1">
        <v>0</v>
      </c>
      <c r="N3248" s="1">
        <v>2.1630939338401936</v>
      </c>
    </row>
    <row r="3249" spans="11:14">
      <c r="K3249" s="1472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72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72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72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72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72">
        <v>45311</v>
      </c>
      <c r="M3254" s="1">
        <v>0</v>
      </c>
      <c r="N3254" s="1">
        <v>2.1685924769400353</v>
      </c>
    </row>
    <row r="3255" spans="11:14">
      <c r="K3255" s="1472">
        <v>45312</v>
      </c>
      <c r="M3255" s="1">
        <v>0</v>
      </c>
      <c r="N3255" s="1">
        <v>2.1685924769400353</v>
      </c>
    </row>
    <row r="3256" spans="11:14">
      <c r="K3256" s="1472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72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72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72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72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72">
        <v>45318</v>
      </c>
      <c r="M3261" s="1">
        <v>0</v>
      </c>
      <c r="N3261" s="1">
        <v>2.1741049972304873</v>
      </c>
    </row>
    <row r="3262" spans="11:14">
      <c r="K3262" s="1472">
        <v>45319</v>
      </c>
      <c r="M3262" s="1">
        <v>0</v>
      </c>
      <c r="N3262" s="1">
        <v>2.1741049972304873</v>
      </c>
    </row>
    <row r="3263" spans="11:14">
      <c r="K3263" s="1472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72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72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72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72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72">
        <v>45325</v>
      </c>
      <c r="M3268" s="1">
        <v>0</v>
      </c>
      <c r="N3268" s="1">
        <v>2.1796315302412985</v>
      </c>
    </row>
    <row r="3269" spans="11:14">
      <c r="K3269" s="1472">
        <v>45326</v>
      </c>
      <c r="M3269" s="1">
        <v>0</v>
      </c>
      <c r="N3269" s="1">
        <v>2.1796315302412985</v>
      </c>
    </row>
    <row r="3270" spans="11:14">
      <c r="K3270" s="1472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72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72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72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72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72">
        <v>45332</v>
      </c>
      <c r="M3275" s="1">
        <v>0</v>
      </c>
      <c r="N3275" s="1">
        <v>2.1851721115925344</v>
      </c>
    </row>
    <row r="3276" spans="11:14">
      <c r="K3276" s="1472">
        <v>45333</v>
      </c>
      <c r="M3276" s="1">
        <v>0</v>
      </c>
      <c r="N3276" s="1">
        <v>2.1851721115925344</v>
      </c>
    </row>
    <row r="3277" spans="11:14">
      <c r="K3277" s="1472">
        <v>45334</v>
      </c>
      <c r="M3277" s="1">
        <v>0</v>
      </c>
      <c r="N3277" s="1">
        <v>2.1851721115925344</v>
      </c>
    </row>
    <row r="3278" spans="11:14">
      <c r="K3278" s="1472">
        <v>45335</v>
      </c>
      <c r="M3278" s="1">
        <v>0</v>
      </c>
      <c r="N3278" s="1">
        <v>2.1851721115925344</v>
      </c>
    </row>
    <row r="3279" spans="11:14">
      <c r="K3279" s="1472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72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72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72">
        <v>45339</v>
      </c>
      <c r="M3282" s="1">
        <v>0</v>
      </c>
      <c r="N3282" s="1">
        <v>2.1885032184585205</v>
      </c>
    </row>
    <row r="3283" spans="11:14">
      <c r="K3283" s="1472">
        <v>45340</v>
      </c>
      <c r="M3283" s="1">
        <v>0</v>
      </c>
      <c r="N3283" s="1">
        <v>2.1885032184585205</v>
      </c>
    </row>
    <row r="3284" spans="11:14">
      <c r="K3284" s="1472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72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72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72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72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72">
        <v>45346</v>
      </c>
      <c r="M3289" s="1">
        <v>0</v>
      </c>
      <c r="N3289" s="1">
        <v>2.194066351470259</v>
      </c>
    </row>
    <row r="3290" spans="11:14">
      <c r="K3290" s="1472">
        <v>45347</v>
      </c>
      <c r="M3290" s="1">
        <v>0</v>
      </c>
      <c r="N3290" s="1">
        <v>2.194066351470259</v>
      </c>
    </row>
    <row r="3291" spans="11:14">
      <c r="K3291" s="1472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72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72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72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72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72">
        <v>45353</v>
      </c>
      <c r="M3296" s="1">
        <v>0</v>
      </c>
      <c r="N3296" s="1">
        <v>2.1996436258589185</v>
      </c>
    </row>
    <row r="3297" spans="11:14">
      <c r="K3297" s="1472">
        <v>45354</v>
      </c>
      <c r="M3297" s="1">
        <v>0</v>
      </c>
      <c r="N3297" s="1">
        <v>2.1996436258589185</v>
      </c>
    </row>
    <row r="3298" spans="11:14">
      <c r="K3298" s="1472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72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72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72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72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72">
        <v>45360</v>
      </c>
      <c r="M3303" s="1">
        <v>0</v>
      </c>
      <c r="N3303" s="1">
        <v>2.2052350775716074</v>
      </c>
    </row>
    <row r="3304" spans="11:14">
      <c r="K3304" s="1472">
        <v>45361</v>
      </c>
      <c r="M3304" s="1">
        <v>0</v>
      </c>
      <c r="N3304" s="1">
        <v>2.2052350775716074</v>
      </c>
    </row>
    <row r="3305" spans="11:14">
      <c r="K3305" s="1472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72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72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72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72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72">
        <v>45367</v>
      </c>
      <c r="M3310" s="1">
        <v>0</v>
      </c>
      <c r="N3310" s="1">
        <v>2.21084074264681</v>
      </c>
    </row>
    <row r="3311" spans="11:14">
      <c r="K3311" s="1472">
        <v>45368</v>
      </c>
      <c r="M3311" s="1">
        <v>0</v>
      </c>
      <c r="N3311" s="1">
        <v>2.21084074264681</v>
      </c>
    </row>
    <row r="3312" spans="11:14">
      <c r="K3312" s="1472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72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72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72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72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72">
        <v>45374</v>
      </c>
      <c r="M3317" s="1">
        <v>0</v>
      </c>
      <c r="N3317" s="1">
        <v>2.2164606572146197</v>
      </c>
    </row>
    <row r="3318" spans="11:14">
      <c r="K3318" s="1472">
        <v>45375</v>
      </c>
      <c r="M3318" s="1">
        <v>0</v>
      </c>
      <c r="N3318" s="1">
        <v>2.2164606572146197</v>
      </c>
    </row>
    <row r="3319" spans="11:14">
      <c r="K3319" s="1472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72">
        <v>45377</v>
      </c>
      <c r="L3320" s="1" t="s">
        <v>2127</v>
      </c>
      <c r="M3320" s="1">
        <v>5.0788E-2</v>
      </c>
      <c r="N3320" s="1">
        <v>2.2187126210102965</v>
      </c>
    </row>
    <row r="3321" spans="11:14">
      <c r="K3321" s="1472"/>
    </row>
    <row r="3322" spans="11:14">
      <c r="K3322" s="1472"/>
    </row>
    <row r="3323" spans="11:14">
      <c r="K3323" s="1472"/>
    </row>
    <row r="3324" spans="11:14">
      <c r="K3324" s="1472"/>
    </row>
    <row r="3325" spans="11:14">
      <c r="K3325" s="1472"/>
    </row>
    <row r="3326" spans="11:14">
      <c r="K3326" s="1472"/>
    </row>
    <row r="3327" spans="11:14">
      <c r="K3327" s="1472"/>
    </row>
    <row r="3328" spans="11:14">
      <c r="K3328" s="1472"/>
    </row>
    <row r="3329" spans="11:11">
      <c r="K3329" s="1472"/>
    </row>
    <row r="3330" spans="11:11">
      <c r="K3330" s="1472"/>
    </row>
    <row r="3331" spans="11:11">
      <c r="K3331" s="1472"/>
    </row>
    <row r="3332" spans="11:11">
      <c r="K3332" s="1472"/>
    </row>
    <row r="3333" spans="11:11">
      <c r="K3333" s="1472"/>
    </row>
    <row r="3334" spans="11:11">
      <c r="K3334" s="1472"/>
    </row>
    <row r="3335" spans="11:11">
      <c r="K3335" s="1472"/>
    </row>
    <row r="3336" spans="11:11">
      <c r="K3336" s="1472"/>
    </row>
    <row r="3337" spans="11:11">
      <c r="K3337" s="1472"/>
    </row>
    <row r="3338" spans="11:11">
      <c r="K3338" s="1472"/>
    </row>
    <row r="3339" spans="11:11">
      <c r="K3339" s="1472"/>
    </row>
    <row r="3340" spans="11:11">
      <c r="K3340" s="1472"/>
    </row>
    <row r="3341" spans="11:11">
      <c r="K3341" s="1472"/>
    </row>
    <row r="3342" spans="11:11">
      <c r="K3342" s="1472"/>
    </row>
    <row r="3343" spans="11:11">
      <c r="K3343" s="1472"/>
    </row>
    <row r="3344" spans="11:11">
      <c r="K3344" s="1472"/>
    </row>
    <row r="3345" spans="11:11">
      <c r="K3345" s="1472"/>
    </row>
    <row r="3346" spans="11:11">
      <c r="K3346" s="1472"/>
    </row>
    <row r="3347" spans="11:11">
      <c r="K3347" s="1472"/>
    </row>
    <row r="3348" spans="11:11">
      <c r="K3348" s="1472"/>
    </row>
    <row r="3349" spans="11:11">
      <c r="K3349" s="1472"/>
    </row>
    <row r="3350" spans="11:11">
      <c r="K3350" s="1472"/>
    </row>
    <row r="3351" spans="11:11">
      <c r="K3351" s="1472"/>
    </row>
    <row r="3352" spans="11:11">
      <c r="K3352" s="1472"/>
    </row>
    <row r="3353" spans="11:11">
      <c r="K3353" s="1472"/>
    </row>
    <row r="3354" spans="11:11">
      <c r="K3354" s="1472"/>
    </row>
    <row r="3355" spans="11:11">
      <c r="K3355" s="1472"/>
    </row>
    <row r="3356" spans="11:11">
      <c r="K3356" s="1472"/>
    </row>
    <row r="3357" spans="11:11">
      <c r="K3357" s="1472"/>
    </row>
    <row r="3358" spans="11:11">
      <c r="K3358" s="1472"/>
    </row>
    <row r="3359" spans="11:11">
      <c r="K3359" s="1472"/>
    </row>
    <row r="3360" spans="11:11">
      <c r="K3360" s="1472"/>
    </row>
    <row r="3361" spans="11:11">
      <c r="K3361" s="1472"/>
    </row>
    <row r="3362" spans="11:11">
      <c r="K3362" s="1472"/>
    </row>
    <row r="3363" spans="11:11">
      <c r="K3363" s="1472"/>
    </row>
    <row r="3364" spans="11:11">
      <c r="K3364" s="1472"/>
    </row>
    <row r="3365" spans="11:11">
      <c r="K3365" s="1472"/>
    </row>
    <row r="3366" spans="11:11">
      <c r="K3366" s="1472"/>
    </row>
    <row r="3367" spans="11:11">
      <c r="K3367" s="1472"/>
    </row>
    <row r="3368" spans="11:11">
      <c r="K3368" s="1472"/>
    </row>
    <row r="3369" spans="11:11">
      <c r="K3369" s="1472"/>
    </row>
    <row r="3370" spans="11:11">
      <c r="K3370" s="1472"/>
    </row>
    <row r="3371" spans="11:11">
      <c r="K3371" s="1472"/>
    </row>
    <row r="3372" spans="11:11">
      <c r="K3372" s="1472"/>
    </row>
    <row r="3373" spans="11:11">
      <c r="K3373" s="1472"/>
    </row>
    <row r="3374" spans="11:11">
      <c r="K3374" s="1472"/>
    </row>
    <row r="3375" spans="11:11">
      <c r="K3375" s="1472"/>
    </row>
    <row r="3376" spans="11:11">
      <c r="K3376" s="1472"/>
    </row>
    <row r="3377" spans="11:11">
      <c r="K3377" s="1472"/>
    </row>
    <row r="3378" spans="11:11">
      <c r="K3378" s="1472"/>
    </row>
    <row r="3379" spans="11:11">
      <c r="K3379" s="1472"/>
    </row>
    <row r="3380" spans="11:11">
      <c r="K3380" s="1472"/>
    </row>
    <row r="3381" spans="11:11">
      <c r="K3381" s="1472"/>
    </row>
    <row r="3382" spans="11:11">
      <c r="K3382" s="1472"/>
    </row>
    <row r="3383" spans="11:11">
      <c r="K3383" s="1472"/>
    </row>
    <row r="3384" spans="11:11">
      <c r="K3384" s="1472"/>
    </row>
    <row r="3385" spans="11:11">
      <c r="K3385" s="1472"/>
    </row>
    <row r="3386" spans="11:11">
      <c r="K3386" s="1472"/>
    </row>
    <row r="3387" spans="11:11">
      <c r="K3387" s="1472"/>
    </row>
    <row r="3388" spans="11:11">
      <c r="K3388" s="1472"/>
    </row>
    <row r="3389" spans="11:11">
      <c r="K3389" s="1472"/>
    </row>
    <row r="3390" spans="11:11">
      <c r="K3390" s="1472"/>
    </row>
    <row r="3391" spans="11:11">
      <c r="K3391" s="1472"/>
    </row>
    <row r="3392" spans="11:11">
      <c r="K3392" s="1472"/>
    </row>
    <row r="3393" spans="11:11">
      <c r="K3393" s="1472"/>
    </row>
    <row r="3394" spans="11:11">
      <c r="K3394" s="1472"/>
    </row>
    <row r="3395" spans="11:11">
      <c r="K3395" s="1472"/>
    </row>
    <row r="3396" spans="11:11">
      <c r="K3396" s="1472"/>
    </row>
    <row r="3397" spans="11:11">
      <c r="K3397" s="1472"/>
    </row>
    <row r="3398" spans="11:11">
      <c r="K3398" s="1472"/>
    </row>
    <row r="3399" spans="11:11">
      <c r="K3399" s="1472"/>
    </row>
    <row r="3400" spans="11:11">
      <c r="K3400" s="1472"/>
    </row>
    <row r="3401" spans="11:11">
      <c r="K3401" s="1472"/>
    </row>
    <row r="3402" spans="11:11">
      <c r="K3402" s="1472"/>
    </row>
    <row r="3403" spans="11:11">
      <c r="K3403" s="1472"/>
    </row>
    <row r="3404" spans="11:11">
      <c r="K3404" s="1472"/>
    </row>
    <row r="3405" spans="11:11">
      <c r="K3405" s="1472"/>
    </row>
    <row r="3406" spans="11:11">
      <c r="K3406" s="1472"/>
    </row>
    <row r="3407" spans="11:11">
      <c r="K3407" s="1472"/>
    </row>
    <row r="3408" spans="11:11">
      <c r="K3408" s="1472"/>
    </row>
    <row r="3409" spans="11:11">
      <c r="K3409" s="1472"/>
    </row>
    <row r="3410" spans="11:11">
      <c r="K3410" s="1472"/>
    </row>
    <row r="3411" spans="11:11">
      <c r="K3411" s="1472"/>
    </row>
    <row r="3412" spans="11:11">
      <c r="K3412" s="1472"/>
    </row>
    <row r="3413" spans="11:11">
      <c r="K3413" s="1472"/>
    </row>
    <row r="3414" spans="11:11">
      <c r="K3414" s="1472"/>
    </row>
    <row r="3415" spans="11:11">
      <c r="K3415" s="1472"/>
    </row>
    <row r="3416" spans="11:11">
      <c r="K3416" s="1472"/>
    </row>
    <row r="3417" spans="11:11">
      <c r="K3417" s="1472"/>
    </row>
    <row r="3418" spans="11:11">
      <c r="K3418" s="1472"/>
    </row>
    <row r="3419" spans="11:11">
      <c r="K3419" s="1472"/>
    </row>
    <row r="3420" spans="11:11">
      <c r="K3420" s="1472"/>
    </row>
    <row r="3421" spans="11:11">
      <c r="K3421" s="1472"/>
    </row>
    <row r="3422" spans="11:11">
      <c r="K3422" s="1472"/>
    </row>
    <row r="3423" spans="11:11">
      <c r="K3423" s="1472"/>
    </row>
    <row r="3424" spans="11:11">
      <c r="K3424" s="1472"/>
    </row>
    <row r="3425" spans="11:11">
      <c r="K3425" s="1472"/>
    </row>
    <row r="3426" spans="11:11">
      <c r="K3426" s="1472"/>
    </row>
    <row r="3427" spans="11:11">
      <c r="K3427" s="1472"/>
    </row>
    <row r="3428" spans="11:11">
      <c r="K3428" s="1472"/>
    </row>
    <row r="3429" spans="11:11">
      <c r="K3429" s="1472"/>
    </row>
    <row r="3430" spans="11:11">
      <c r="K3430" s="1472"/>
    </row>
    <row r="3431" spans="11:11">
      <c r="K3431" s="1472"/>
    </row>
    <row r="3432" spans="11:11">
      <c r="K3432" s="1472"/>
    </row>
    <row r="3433" spans="11:11">
      <c r="K3433" s="1472"/>
    </row>
    <row r="3434" spans="11:11">
      <c r="K3434" s="1472"/>
    </row>
    <row r="3435" spans="11:11">
      <c r="K3435" s="1472"/>
    </row>
    <row r="3436" spans="11:11">
      <c r="K3436" s="1472"/>
    </row>
    <row r="3437" spans="11:11">
      <c r="K3437" s="1472"/>
    </row>
    <row r="3438" spans="11:11">
      <c r="K3438" s="1472"/>
    </row>
    <row r="3439" spans="11:11">
      <c r="K3439" s="1472"/>
    </row>
    <row r="3440" spans="11:11">
      <c r="K3440" s="1472"/>
    </row>
    <row r="3441" spans="11:11">
      <c r="K3441" s="1472"/>
    </row>
    <row r="3442" spans="11:11">
      <c r="K3442" s="1472"/>
    </row>
    <row r="3443" spans="11:11">
      <c r="K3443" s="1472"/>
    </row>
    <row r="3444" spans="11:11">
      <c r="K3444" s="1472"/>
    </row>
    <row r="3445" spans="11:11">
      <c r="K3445" s="1472"/>
    </row>
    <row r="3446" spans="11:11">
      <c r="K3446" s="1472"/>
    </row>
    <row r="3447" spans="11:11">
      <c r="K3447" s="1472"/>
    </row>
    <row r="3448" spans="11:11">
      <c r="K3448" s="1472"/>
    </row>
    <row r="3449" spans="11:11">
      <c r="K3449" s="1472"/>
    </row>
    <row r="3450" spans="11:11">
      <c r="K3450" s="1472"/>
    </row>
    <row r="3451" spans="11:11">
      <c r="K3451" s="1472"/>
    </row>
    <row r="3452" spans="11:11">
      <c r="K3452" s="1472"/>
    </row>
    <row r="3453" spans="11:11">
      <c r="K3453" s="1472"/>
    </row>
    <row r="3454" spans="11:11">
      <c r="K3454" s="1472"/>
    </row>
    <row r="3455" spans="11:11">
      <c r="K3455" s="1472"/>
    </row>
    <row r="3456" spans="11:11">
      <c r="K3456" s="1472"/>
    </row>
    <row r="3457" spans="11:11">
      <c r="K3457" s="1472"/>
    </row>
    <row r="3458" spans="11:11">
      <c r="K3458" s="1472"/>
    </row>
    <row r="3459" spans="11:11">
      <c r="K3459" s="1472"/>
    </row>
    <row r="3460" spans="11:11">
      <c r="K3460" s="1472"/>
    </row>
    <row r="3461" spans="11:11">
      <c r="K3461" s="1472"/>
    </row>
    <row r="3462" spans="11:11">
      <c r="K3462" s="1472"/>
    </row>
    <row r="3463" spans="11:11">
      <c r="K3463" s="1472"/>
    </row>
    <row r="3464" spans="11:11">
      <c r="K3464" s="1472"/>
    </row>
    <row r="3465" spans="11:11">
      <c r="K3465" s="1472"/>
    </row>
    <row r="3466" spans="11:11">
      <c r="K3466" s="1472"/>
    </row>
    <row r="3467" spans="11:11">
      <c r="K3467" s="1472"/>
    </row>
    <row r="3468" spans="11:11">
      <c r="K3468" s="1472"/>
    </row>
    <row r="3469" spans="11:11">
      <c r="K3469" s="1472"/>
    </row>
    <row r="3470" spans="11:11">
      <c r="K3470" s="1472"/>
    </row>
    <row r="3471" spans="11:11">
      <c r="K3471" s="1472"/>
    </row>
    <row r="3472" spans="11:11">
      <c r="K3472" s="1472"/>
    </row>
    <row r="3473" spans="11:11">
      <c r="K3473" s="1472"/>
    </row>
    <row r="3474" spans="11:11">
      <c r="K3474" s="1472"/>
    </row>
    <row r="3475" spans="11:11">
      <c r="K3475" s="1472"/>
    </row>
    <row r="3476" spans="11:11">
      <c r="K3476" s="1472"/>
    </row>
    <row r="3477" spans="11:11">
      <c r="K3477" s="1472"/>
    </row>
    <row r="3478" spans="11:11">
      <c r="K3478" s="1472"/>
    </row>
    <row r="3479" spans="11:11">
      <c r="K3479" s="1472"/>
    </row>
    <row r="3480" spans="11:11">
      <c r="K3480" s="1472"/>
    </row>
    <row r="3481" spans="11:11">
      <c r="K3481" s="1472"/>
    </row>
    <row r="3482" spans="11:11">
      <c r="K3482" s="1472"/>
    </row>
    <row r="3483" spans="11:11">
      <c r="K3483" s="1472"/>
    </row>
    <row r="3484" spans="11:11">
      <c r="K3484" s="1472"/>
    </row>
    <row r="3485" spans="11:11">
      <c r="K3485" s="1472"/>
    </row>
    <row r="3486" spans="11:11">
      <c r="K3486" s="1472"/>
    </row>
    <row r="3487" spans="11:11">
      <c r="K3487" s="1472"/>
    </row>
    <row r="3488" spans="11:11">
      <c r="K3488" s="1472"/>
    </row>
    <row r="3489" spans="11:11">
      <c r="K3489" s="1472"/>
    </row>
    <row r="3490" spans="11:11">
      <c r="K3490" s="1472"/>
    </row>
    <row r="3491" spans="11:11">
      <c r="K3491" s="1472"/>
    </row>
    <row r="3492" spans="11:11">
      <c r="K3492" s="1472"/>
    </row>
    <row r="3493" spans="11:11">
      <c r="K3493" s="1472"/>
    </row>
    <row r="3494" spans="11:11">
      <c r="K3494" s="1472"/>
    </row>
    <row r="3495" spans="11:11">
      <c r="K3495" s="1472"/>
    </row>
    <row r="3496" spans="11:11">
      <c r="K3496" s="1472"/>
    </row>
    <row r="3497" spans="11:11">
      <c r="K3497" s="1472"/>
    </row>
    <row r="3498" spans="11:11">
      <c r="K3498" s="1472"/>
    </row>
    <row r="3499" spans="11:11">
      <c r="K3499" s="1472"/>
    </row>
    <row r="3500" spans="11:11">
      <c r="K3500" s="1472"/>
    </row>
    <row r="3501" spans="11:11">
      <c r="K3501" s="1472"/>
    </row>
    <row r="3502" spans="11:11">
      <c r="K3502" s="1472"/>
    </row>
    <row r="3503" spans="11:11">
      <c r="K3503" s="1472"/>
    </row>
    <row r="3504" spans="11:11">
      <c r="K3504" s="1472"/>
    </row>
    <row r="3505" spans="11:11">
      <c r="K3505" s="1472"/>
    </row>
    <row r="3506" spans="11:11">
      <c r="K3506" s="1472"/>
    </row>
    <row r="3507" spans="11:11">
      <c r="K3507" s="1472"/>
    </row>
    <row r="3508" spans="11:11">
      <c r="K3508" s="1472"/>
    </row>
    <row r="3509" spans="11:11">
      <c r="K3509" s="1472"/>
    </row>
    <row r="3510" spans="11:11">
      <c r="K3510" s="1472"/>
    </row>
    <row r="3511" spans="11:11">
      <c r="K3511" s="1472"/>
    </row>
    <row r="3512" spans="11:11">
      <c r="K3512" s="1472"/>
    </row>
    <row r="3513" spans="11:11">
      <c r="K3513" s="1472"/>
    </row>
    <row r="3514" spans="11:11">
      <c r="K3514" s="1472"/>
    </row>
    <row r="3515" spans="11:11">
      <c r="K3515" s="1472"/>
    </row>
    <row r="3516" spans="11:11">
      <c r="K3516" s="1472"/>
    </row>
    <row r="3517" spans="11:11">
      <c r="K3517" s="1472"/>
    </row>
    <row r="3518" spans="11:11">
      <c r="K3518" s="1472"/>
    </row>
    <row r="3519" spans="11:11">
      <c r="K3519" s="1472"/>
    </row>
    <row r="3520" spans="11:11">
      <c r="K3520" s="1472"/>
    </row>
    <row r="3521" spans="11:11">
      <c r="K3521" s="1472"/>
    </row>
    <row r="3522" spans="11:11">
      <c r="K3522" s="1472"/>
    </row>
    <row r="3523" spans="11:11">
      <c r="K3523" s="1472"/>
    </row>
    <row r="3524" spans="11:11">
      <c r="K3524" s="1472"/>
    </row>
    <row r="3525" spans="11:11">
      <c r="K3525" s="1472"/>
    </row>
    <row r="3526" spans="11:11">
      <c r="K3526" s="1472"/>
    </row>
    <row r="3527" spans="11:11">
      <c r="K3527" s="1472"/>
    </row>
    <row r="3528" spans="11:11">
      <c r="K3528" s="1472"/>
    </row>
    <row r="3529" spans="11:11">
      <c r="K3529" s="1472"/>
    </row>
    <row r="3530" spans="11:11">
      <c r="K3530" s="1472"/>
    </row>
    <row r="3531" spans="11:11">
      <c r="K3531" s="1472"/>
    </row>
    <row r="3532" spans="11:11">
      <c r="K3532" s="1472"/>
    </row>
    <row r="3533" spans="11:11">
      <c r="K3533" s="1472"/>
    </row>
    <row r="3534" spans="11:11">
      <c r="K3534" s="1472"/>
    </row>
    <row r="3535" spans="11:11">
      <c r="K3535" s="1472"/>
    </row>
    <row r="3536" spans="11:11">
      <c r="K3536" s="1472"/>
    </row>
    <row r="3537" spans="11:11">
      <c r="K3537" s="1472"/>
    </row>
    <row r="3538" spans="11:11">
      <c r="K3538" s="1472"/>
    </row>
    <row r="3539" spans="11:11">
      <c r="K3539" s="1472"/>
    </row>
    <row r="3540" spans="11:11">
      <c r="K3540" s="1472"/>
    </row>
    <row r="3541" spans="11:11">
      <c r="K3541" s="1472"/>
    </row>
    <row r="3542" spans="11:11">
      <c r="K3542" s="1472"/>
    </row>
    <row r="3543" spans="11:11">
      <c r="K3543" s="1472"/>
    </row>
    <row r="3544" spans="11:11">
      <c r="K3544" s="1472"/>
    </row>
    <row r="3545" spans="11:11">
      <c r="K3545" s="1472"/>
    </row>
    <row r="3546" spans="11:11">
      <c r="K3546" s="1472"/>
    </row>
    <row r="3547" spans="11:11">
      <c r="K3547" s="1472"/>
    </row>
    <row r="3548" spans="11:11">
      <c r="K3548" s="1472"/>
    </row>
    <row r="3549" spans="11:11">
      <c r="K3549" s="1472"/>
    </row>
    <row r="3550" spans="11:11">
      <c r="K3550" s="1472"/>
    </row>
    <row r="3551" spans="11:11">
      <c r="K3551" s="1472"/>
    </row>
    <row r="3552" spans="11:11">
      <c r="K3552" s="1472"/>
    </row>
    <row r="3553" spans="11:11">
      <c r="K3553" s="1472"/>
    </row>
    <row r="3554" spans="11:11">
      <c r="K3554" s="1472"/>
    </row>
    <row r="3555" spans="11:11">
      <c r="K3555" s="1472"/>
    </row>
    <row r="3556" spans="11:11">
      <c r="K3556" s="1472"/>
    </row>
    <row r="3557" spans="11:11">
      <c r="K3557" s="1472"/>
    </row>
    <row r="3558" spans="11:11">
      <c r="K3558" s="1472"/>
    </row>
    <row r="3559" spans="11:11">
      <c r="K3559" s="1472"/>
    </row>
    <row r="3560" spans="11:11">
      <c r="K3560" s="1472"/>
    </row>
    <row r="3561" spans="11:11">
      <c r="K3561" s="1472"/>
    </row>
    <row r="3562" spans="11:11">
      <c r="K3562" s="1472"/>
    </row>
    <row r="3563" spans="11:11">
      <c r="K3563" s="1472"/>
    </row>
    <row r="3564" spans="11:11">
      <c r="K3564" s="1472"/>
    </row>
    <row r="3565" spans="11:11">
      <c r="K3565" s="1472"/>
    </row>
    <row r="3566" spans="11:11">
      <c r="K3566" s="1472"/>
    </row>
    <row r="3567" spans="11:11">
      <c r="K3567" s="1472"/>
    </row>
    <row r="3568" spans="11:11">
      <c r="K3568" s="1472"/>
    </row>
    <row r="3569" spans="11:11">
      <c r="K3569" s="1472"/>
    </row>
    <row r="3570" spans="11:11">
      <c r="K3570" s="1472"/>
    </row>
    <row r="3571" spans="11:11">
      <c r="K3571" s="1472"/>
    </row>
    <row r="3572" spans="11:11">
      <c r="K3572" s="1472"/>
    </row>
    <row r="3573" spans="11:11">
      <c r="K3573" s="1472"/>
    </row>
    <row r="3574" spans="11:11">
      <c r="K3574" s="1472"/>
    </row>
    <row r="3575" spans="11:11">
      <c r="K3575" s="1472"/>
    </row>
    <row r="3576" spans="11:11">
      <c r="K3576" s="1472"/>
    </row>
    <row r="3577" spans="11:11">
      <c r="K3577" s="1472"/>
    </row>
    <row r="3578" spans="11:11">
      <c r="K3578" s="1472"/>
    </row>
    <row r="3579" spans="11:11">
      <c r="K3579" s="1472"/>
    </row>
    <row r="3580" spans="11:11">
      <c r="K3580" s="1472"/>
    </row>
    <row r="3581" spans="11:11">
      <c r="K3581" s="1472"/>
    </row>
    <row r="3582" spans="11:11">
      <c r="K3582" s="1472"/>
    </row>
    <row r="3583" spans="11:11">
      <c r="K3583" s="1472"/>
    </row>
    <row r="3584" spans="11:11">
      <c r="K3584" s="1472"/>
    </row>
    <row r="3585" spans="11:11">
      <c r="K3585" s="1472"/>
    </row>
    <row r="3586" spans="11:11">
      <c r="K3586" s="1472"/>
    </row>
    <row r="3587" spans="11:11">
      <c r="K3587" s="1472"/>
    </row>
    <row r="3588" spans="11:11">
      <c r="K3588" s="1472"/>
    </row>
    <row r="3589" spans="11:11">
      <c r="K3589" s="1472"/>
    </row>
    <row r="3590" spans="11:11">
      <c r="K3590" s="1472"/>
    </row>
    <row r="3591" spans="11:11">
      <c r="K3591" s="1472"/>
    </row>
    <row r="3592" spans="11:11">
      <c r="K3592" s="1472"/>
    </row>
    <row r="3593" spans="11:11">
      <c r="K3593" s="1472"/>
    </row>
    <row r="3594" spans="11:11">
      <c r="K3594" s="1472"/>
    </row>
    <row r="3595" spans="11:11">
      <c r="K3595" s="1472"/>
    </row>
    <row r="3596" spans="11:11">
      <c r="K3596" s="1472"/>
    </row>
    <row r="3597" spans="11:11">
      <c r="K3597" s="1472"/>
    </row>
    <row r="3598" spans="11:11">
      <c r="K3598" s="1472"/>
    </row>
    <row r="3599" spans="11:11">
      <c r="K3599" s="1472"/>
    </row>
    <row r="3600" spans="11:11">
      <c r="K3600" s="1472"/>
    </row>
    <row r="3601" spans="11:11">
      <c r="K3601" s="1472"/>
    </row>
    <row r="3602" spans="11:11">
      <c r="K3602" s="1472"/>
    </row>
    <row r="3603" spans="11:11">
      <c r="K3603" s="1472"/>
    </row>
    <row r="3604" spans="11:11">
      <c r="K3604" s="1472"/>
    </row>
    <row r="3605" spans="11:11">
      <c r="K3605" s="1472"/>
    </row>
    <row r="3606" spans="11:11">
      <c r="K3606" s="1472"/>
    </row>
    <row r="3607" spans="11:11">
      <c r="K3607" s="1472"/>
    </row>
    <row r="3608" spans="11:11">
      <c r="K3608" s="1472"/>
    </row>
    <row r="3609" spans="11:11">
      <c r="K3609" s="1472"/>
    </row>
    <row r="3610" spans="11:11">
      <c r="K3610" s="1472"/>
    </row>
    <row r="3611" spans="11:11">
      <c r="K3611" s="1472"/>
    </row>
    <row r="3612" spans="11:11">
      <c r="K3612" s="1472"/>
    </row>
    <row r="3613" spans="11:11">
      <c r="K3613" s="1472"/>
    </row>
    <row r="3614" spans="11:11">
      <c r="K3614" s="1472"/>
    </row>
    <row r="3615" spans="11:11">
      <c r="K3615" s="1472"/>
    </row>
    <row r="3616" spans="11:11">
      <c r="K3616" s="1472"/>
    </row>
    <row r="3617" spans="11:11">
      <c r="K3617" s="1472"/>
    </row>
    <row r="3618" spans="11:11">
      <c r="K3618" s="1472"/>
    </row>
    <row r="3619" spans="11:11">
      <c r="K3619" s="1472"/>
    </row>
    <row r="3620" spans="11:11">
      <c r="K3620" s="1472"/>
    </row>
    <row r="3621" spans="11:11">
      <c r="K3621" s="1472"/>
    </row>
    <row r="3622" spans="11:11">
      <c r="K3622" s="1472"/>
    </row>
    <row r="3623" spans="11:11">
      <c r="K3623" s="1472"/>
    </row>
    <row r="3624" spans="11:11">
      <c r="K3624" s="1472"/>
    </row>
    <row r="3625" spans="11:11">
      <c r="K3625" s="1472"/>
    </row>
    <row r="3626" spans="11:11">
      <c r="K3626" s="1472"/>
    </row>
    <row r="3627" spans="11:11">
      <c r="K3627" s="1472"/>
    </row>
    <row r="3628" spans="11:11">
      <c r="K3628" s="1472"/>
    </row>
    <row r="3629" spans="11:11">
      <c r="K3629" s="1472"/>
    </row>
    <row r="3630" spans="11:11">
      <c r="K3630" s="1472"/>
    </row>
    <row r="3631" spans="11:11">
      <c r="K3631" s="1472"/>
    </row>
    <row r="3632" spans="11:11">
      <c r="K3632" s="1472"/>
    </row>
    <row r="3633" spans="11:11">
      <c r="K3633" s="1472"/>
    </row>
    <row r="3634" spans="11:11">
      <c r="K3634" s="1472"/>
    </row>
    <row r="3635" spans="11:11">
      <c r="K3635" s="1472"/>
    </row>
    <row r="3636" spans="11:11">
      <c r="K3636" s="1472"/>
    </row>
    <row r="3637" spans="11:11">
      <c r="K3637" s="1472"/>
    </row>
    <row r="3638" spans="11:11">
      <c r="K3638" s="1472"/>
    </row>
    <row r="3639" spans="11:11">
      <c r="K3639" s="1472"/>
    </row>
    <row r="3640" spans="11:11">
      <c r="K3640" s="1472"/>
    </row>
    <row r="3641" spans="11:11">
      <c r="K3641" s="1472"/>
    </row>
    <row r="3642" spans="11:11">
      <c r="K3642" s="1472"/>
    </row>
    <row r="3643" spans="11:11">
      <c r="K3643" s="1472"/>
    </row>
    <row r="3644" spans="11:11">
      <c r="K3644" s="1472"/>
    </row>
    <row r="3645" spans="11:11">
      <c r="K3645" s="1472"/>
    </row>
    <row r="3646" spans="11:11">
      <c r="K3646" s="1472"/>
    </row>
    <row r="3647" spans="11:11">
      <c r="K3647" s="1472"/>
    </row>
    <row r="3648" spans="11:11">
      <c r="K3648" s="1472"/>
    </row>
    <row r="3649" spans="11:11">
      <c r="K3649" s="1472"/>
    </row>
    <row r="3650" spans="11:11">
      <c r="K3650" s="1472"/>
    </row>
    <row r="3651" spans="11:11">
      <c r="K3651" s="1472"/>
    </row>
    <row r="3652" spans="11:11">
      <c r="K3652" s="1472"/>
    </row>
    <row r="3653" spans="11:11">
      <c r="K3653" s="1472"/>
    </row>
    <row r="3654" spans="11:11">
      <c r="K3654" s="1472"/>
    </row>
    <row r="3655" spans="11:11">
      <c r="K3655" s="1472"/>
    </row>
    <row r="3656" spans="11:11">
      <c r="K3656" s="1472"/>
    </row>
    <row r="3657" spans="11:11">
      <c r="K3657" s="1472"/>
    </row>
    <row r="3658" spans="11:11">
      <c r="K3658" s="1472"/>
    </row>
    <row r="3659" spans="11:11">
      <c r="K3659" s="1472"/>
    </row>
    <row r="3660" spans="11:11">
      <c r="K3660" s="1472"/>
    </row>
    <row r="3661" spans="11:11">
      <c r="K3661" s="1472"/>
    </row>
    <row r="3662" spans="11:11">
      <c r="K3662" s="1472"/>
    </row>
    <row r="3663" spans="11:11">
      <c r="K3663" s="1472"/>
    </row>
    <row r="3664" spans="11:11">
      <c r="K3664" s="1472"/>
    </row>
    <row r="3665" spans="11:11">
      <c r="K3665" s="1472"/>
    </row>
    <row r="3666" spans="11:11">
      <c r="K3666" s="1472"/>
    </row>
    <row r="3667" spans="11:11">
      <c r="K3667" s="1472"/>
    </row>
    <row r="3668" spans="11:11">
      <c r="K3668" s="1472"/>
    </row>
    <row r="3669" spans="11:11">
      <c r="K3669" s="1472"/>
    </row>
    <row r="3670" spans="11:11">
      <c r="K3670" s="1472"/>
    </row>
    <row r="3671" spans="11:11">
      <c r="K3671" s="1472"/>
    </row>
    <row r="3672" spans="11:11">
      <c r="K3672" s="1472"/>
    </row>
    <row r="3673" spans="11:11">
      <c r="K3673" s="1472"/>
    </row>
    <row r="3674" spans="11:11">
      <c r="K3674" s="1472"/>
    </row>
    <row r="3675" spans="11:11">
      <c r="K3675" s="1472"/>
    </row>
    <row r="3676" spans="11:11">
      <c r="K3676" s="1472"/>
    </row>
    <row r="3677" spans="11:11">
      <c r="K3677" s="1472"/>
    </row>
    <row r="3678" spans="11:11">
      <c r="K3678" s="1472"/>
    </row>
    <row r="3679" spans="11:11">
      <c r="K3679" s="1472"/>
    </row>
    <row r="3680" spans="11:11">
      <c r="K3680" s="1472"/>
    </row>
    <row r="3681" spans="11:11">
      <c r="K3681" s="1472"/>
    </row>
    <row r="3682" spans="11:11">
      <c r="K3682" s="1472"/>
    </row>
    <row r="3683" spans="11:11">
      <c r="K3683" s="1472"/>
    </row>
    <row r="3684" spans="11:11">
      <c r="K3684" s="1472"/>
    </row>
    <row r="3685" spans="11:11">
      <c r="K3685" s="1472"/>
    </row>
    <row r="3686" spans="11:11">
      <c r="K3686" s="1472"/>
    </row>
    <row r="3687" spans="11:11">
      <c r="K3687" s="1472"/>
    </row>
    <row r="3688" spans="11:11">
      <c r="K3688" s="1472"/>
    </row>
    <row r="3689" spans="11:11">
      <c r="K3689" s="1472"/>
    </row>
    <row r="3690" spans="11:11">
      <c r="K3690" s="1472"/>
    </row>
    <row r="3691" spans="11:11">
      <c r="K3691" s="1472"/>
    </row>
    <row r="3692" spans="11:11">
      <c r="K3692" s="1472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4" t="s">
        <v>2202</v>
      </c>
      <c r="B9" s="1584" t="s">
        <v>2203</v>
      </c>
      <c r="C9" s="1584"/>
      <c r="D9" s="1584" t="s">
        <v>2204</v>
      </c>
      <c r="E9" s="1702" t="s">
        <v>2229</v>
      </c>
      <c r="F9" s="1702" t="s">
        <v>2228</v>
      </c>
      <c r="G9" s="1702" t="s">
        <v>36</v>
      </c>
    </row>
    <row r="10" spans="1:11">
      <c r="A10" s="1863" t="s">
        <v>753</v>
      </c>
      <c r="B10" s="1863" t="s">
        <v>2077</v>
      </c>
      <c r="C10" s="1585">
        <v>12</v>
      </c>
      <c r="D10" s="1585" t="s">
        <v>2036</v>
      </c>
      <c r="E10" s="1703">
        <f>Encargos!I20</f>
        <v>0</v>
      </c>
      <c r="F10" s="1703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03">
        <f>(SUMIFS(Financeiros[Valor],Financeiros[iddet1],19,Financeiros[iddet2],60,Financeiros[id_Detalhe_Grupo_TARIFA],C10))</f>
        <v>0</v>
      </c>
      <c r="K10" s="9"/>
    </row>
    <row r="11" spans="1:11">
      <c r="A11" s="1864"/>
      <c r="B11" s="1863"/>
      <c r="C11" s="1585">
        <v>14</v>
      </c>
      <c r="D11" s="1585" t="s">
        <v>40</v>
      </c>
      <c r="E11" s="1703">
        <f ca="1">Resultado!D17</f>
        <v>109835.60937026615</v>
      </c>
      <c r="F11" s="1703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4204.1088071347203</v>
      </c>
      <c r="G11" s="1703">
        <f>(SUMIFS(Financeiros[Valor],Financeiros[iddet1],19,Financeiros[iddet2],60,Financeiros[id_Detalhe_Grupo_TARIFA],C11))</f>
        <v>0</v>
      </c>
    </row>
    <row r="12" spans="1:11">
      <c r="A12" s="1864"/>
      <c r="B12" s="1863"/>
      <c r="C12" s="1585">
        <v>19</v>
      </c>
      <c r="D12" s="1585" t="s">
        <v>48</v>
      </c>
      <c r="E12" s="1703">
        <f ca="1">Resultado!D22-E38</f>
        <v>0</v>
      </c>
      <c r="F12" s="1703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03">
        <f>(SUMIFS(Financeiros[Valor],Financeiros[iddet1],19,Financeiros[iddet2],60,Financeiros[id_Detalhe_Grupo_TARIFA],C12))</f>
        <v>0</v>
      </c>
    </row>
    <row r="13" spans="1:11">
      <c r="A13" s="1864"/>
      <c r="B13" s="1863"/>
      <c r="C13" s="1585">
        <v>20</v>
      </c>
      <c r="D13" s="1585" t="s">
        <v>49</v>
      </c>
      <c r="E13" s="1703">
        <f>Resultado!D23</f>
        <v>0</v>
      </c>
      <c r="F13" s="1703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03">
        <f>(SUMIFS(Financeiros[Valor],Financeiros[iddet1],19,Financeiros[iddet2],60,Financeiros[id_Detalhe_Grupo_TARIFA],C13))</f>
        <v>0</v>
      </c>
    </row>
    <row r="14" spans="1:11">
      <c r="A14" s="1864"/>
      <c r="B14" s="1863"/>
      <c r="C14" s="1585">
        <v>13</v>
      </c>
      <c r="D14" s="1585" t="s">
        <v>39</v>
      </c>
      <c r="E14" s="1703">
        <f>Resultado!D16</f>
        <v>0</v>
      </c>
      <c r="F14" s="1703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03">
        <f>(SUMIFS(Financeiros[Valor],Financeiros[iddet1],19,Financeiros[iddet2],60,Financeiros[id_Detalhe_Grupo_TARIFA],C14))</f>
        <v>0</v>
      </c>
    </row>
    <row r="15" spans="1:11">
      <c r="A15" s="1864"/>
      <c r="B15" s="1863"/>
      <c r="C15" s="1585">
        <v>15</v>
      </c>
      <c r="D15" s="1585" t="s">
        <v>41</v>
      </c>
      <c r="E15" s="1703">
        <f ca="1">Encargos!I19</f>
        <v>7706465.960090002</v>
      </c>
      <c r="F15" s="1703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181053.9608331761</v>
      </c>
      <c r="G15" s="1703">
        <f>(SUMIFS(Financeiros[Valor],Financeiros[iddet1],19,Financeiros[iddet2],60,Financeiros[id_Detalhe_Grupo_TARIFA],C15))</f>
        <v>0</v>
      </c>
    </row>
    <row r="16" spans="1:11">
      <c r="A16" s="1864"/>
      <c r="B16" s="1863"/>
      <c r="C16" s="1585">
        <v>18</v>
      </c>
      <c r="D16" s="1585" t="s">
        <v>47</v>
      </c>
      <c r="E16" s="1703">
        <f ca="1">Resultado!D21</f>
        <v>1291204.2324600006</v>
      </c>
      <c r="F16" s="1703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27576.297970177777</v>
      </c>
      <c r="G16" s="1703">
        <f>(SUMIFS(Financeiros[Valor],Financeiros[iddet1],19,Financeiros[iddet2],60,Financeiros[id_Detalhe_Grupo_TARIFA],C16))</f>
        <v>0</v>
      </c>
    </row>
    <row r="17" spans="1:7">
      <c r="A17" s="1864"/>
      <c r="B17" s="1863"/>
      <c r="C17" s="1585"/>
      <c r="D17" s="1585" t="s">
        <v>2205</v>
      </c>
      <c r="E17" s="1703">
        <v>0</v>
      </c>
      <c r="F17" s="1703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03">
        <v>0</v>
      </c>
    </row>
    <row r="18" spans="1:7">
      <c r="A18" s="1864"/>
      <c r="B18" s="1863"/>
      <c r="C18" s="1585"/>
      <c r="D18" s="1686" t="s">
        <v>2206</v>
      </c>
      <c r="E18" s="1703">
        <f ca="1">SUM(E10:E17)</f>
        <v>9107505.8019202687</v>
      </c>
      <c r="F18" s="1703">
        <f t="shared" ref="F18:G18" ca="1" si="0">SUM(F10:F17)</f>
        <v>212834.36761048861</v>
      </c>
      <c r="G18" s="1703">
        <f t="shared" si="0"/>
        <v>0</v>
      </c>
    </row>
    <row r="19" spans="1:7">
      <c r="A19" s="1864"/>
      <c r="B19" s="1863" t="s">
        <v>2207</v>
      </c>
      <c r="C19" s="1585">
        <v>1</v>
      </c>
      <c r="D19" s="1585" t="s">
        <v>2208</v>
      </c>
      <c r="E19" s="1703">
        <f>Resultado!D25</f>
        <v>0</v>
      </c>
      <c r="F19" s="1703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03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4"/>
      <c r="B20" s="1863"/>
      <c r="C20" s="1585">
        <v>2</v>
      </c>
      <c r="D20" s="1585" t="s">
        <v>2209</v>
      </c>
      <c r="E20" s="1703">
        <f>Resultado!D26</f>
        <v>0</v>
      </c>
      <c r="F20" s="1703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03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4"/>
      <c r="B21" s="1863"/>
      <c r="C21" s="1585">
        <v>3</v>
      </c>
      <c r="D21" s="1585" t="s">
        <v>2210</v>
      </c>
      <c r="E21" s="1703">
        <f>Resultado!D31</f>
        <v>0</v>
      </c>
      <c r="F21" s="1703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03">
        <f>(SUMIFS(Financeiros[Valor],Financeiros[iddet1],19,Financeiros[iddet2],60,Financeiros[id_Detalhe_Grupo_TARIFA],C21))</f>
        <v>0</v>
      </c>
    </row>
    <row r="22" spans="1:7">
      <c r="A22" s="1864"/>
      <c r="B22" s="1863"/>
      <c r="C22" s="1585">
        <v>4</v>
      </c>
      <c r="D22" s="1585" t="s">
        <v>2211</v>
      </c>
      <c r="E22" s="1703">
        <f>0</f>
        <v>0</v>
      </c>
      <c r="F22" s="1703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03">
        <f>(SUMIFS(Financeiros[Valor],Financeiros[iddet1],19,Financeiros[iddet2],60,Financeiros[id_Detalhe_Grupo_TARIFA],C22))</f>
        <v>0</v>
      </c>
    </row>
    <row r="23" spans="1:7">
      <c r="A23" s="1864"/>
      <c r="B23" s="1863"/>
      <c r="C23" s="1585">
        <v>7</v>
      </c>
      <c r="D23" s="1585" t="s">
        <v>952</v>
      </c>
      <c r="E23" s="1703">
        <f>Resultado!D32</f>
        <v>10275212.197579999</v>
      </c>
      <c r="F23" s="1703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-1451207.6955431984</v>
      </c>
      <c r="G23" s="1703">
        <f>(SUMIFS(Financeiros[Valor],Financeiros[iddet1],19,Financeiros[iddet2],60,Financeiros[id_Detalhe_Grupo_TARIFA],C23))</f>
        <v>0</v>
      </c>
    </row>
    <row r="24" spans="1:7">
      <c r="A24" s="1864"/>
      <c r="B24" s="1863"/>
      <c r="C24" s="1585">
        <v>6</v>
      </c>
      <c r="D24" s="1585" t="s">
        <v>2212</v>
      </c>
      <c r="E24" s="1703">
        <f>Resultado!D28</f>
        <v>0</v>
      </c>
      <c r="F24" s="1703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03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4"/>
      <c r="B25" s="1863"/>
      <c r="C25" s="1585">
        <v>5</v>
      </c>
      <c r="D25" s="1585" t="s">
        <v>2213</v>
      </c>
      <c r="E25" s="1703">
        <f>Resultado!D27</f>
        <v>0</v>
      </c>
      <c r="F25" s="1703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03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4"/>
      <c r="B26" s="1863"/>
      <c r="C26" s="1585"/>
      <c r="D26" s="1686" t="s">
        <v>2206</v>
      </c>
      <c r="E26" s="1703">
        <f>SUM(E19:E25)</f>
        <v>10275212.197579999</v>
      </c>
      <c r="F26" s="1703">
        <f t="shared" ref="F26:G26" si="1">SUM(F19:F25)</f>
        <v>-1451207.6955431984</v>
      </c>
      <c r="G26" s="1703">
        <f t="shared" si="1"/>
        <v>0</v>
      </c>
    </row>
    <row r="27" spans="1:7">
      <c r="A27" s="1864"/>
      <c r="B27" s="1863" t="s">
        <v>2214</v>
      </c>
      <c r="C27" s="1585">
        <v>999</v>
      </c>
      <c r="D27" s="1585" t="s">
        <v>953</v>
      </c>
      <c r="E27" s="1703">
        <f>LnkTXTIParcelaBcomSub</f>
        <v>26000000</v>
      </c>
      <c r="F27" s="1703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-11769398.069312805</v>
      </c>
      <c r="G27" s="1703">
        <v>0</v>
      </c>
    </row>
    <row r="28" spans="1:7">
      <c r="A28" s="1864"/>
      <c r="B28" s="1863"/>
      <c r="C28" s="1585"/>
      <c r="D28" s="1686" t="s">
        <v>2206</v>
      </c>
      <c r="E28" s="1703">
        <f>SUM(E27)</f>
        <v>26000000</v>
      </c>
      <c r="F28" s="1703">
        <f t="shared" ref="F28:G28" ca="1" si="2">SUM(F27)</f>
        <v>-11769398.069312805</v>
      </c>
      <c r="G28" s="1703">
        <f t="shared" si="2"/>
        <v>0</v>
      </c>
    </row>
    <row r="29" spans="1:7">
      <c r="A29" s="1864"/>
      <c r="B29" s="1863" t="s">
        <v>2215</v>
      </c>
      <c r="C29" s="1585">
        <v>179</v>
      </c>
      <c r="D29" s="1585" t="s">
        <v>2216</v>
      </c>
      <c r="E29" s="1703">
        <v>0</v>
      </c>
      <c r="F29" s="1703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03">
        <v>0</v>
      </c>
    </row>
    <row r="30" spans="1:7">
      <c r="A30" s="1864"/>
      <c r="B30" s="1863"/>
      <c r="C30" s="1585"/>
      <c r="D30" s="1585" t="s">
        <v>949</v>
      </c>
      <c r="E30" s="1703">
        <v>0</v>
      </c>
      <c r="F30" s="1703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03">
        <v>0</v>
      </c>
    </row>
    <row r="31" spans="1:7">
      <c r="A31" s="1864"/>
      <c r="B31" s="1863"/>
      <c r="C31" s="1585"/>
      <c r="D31" s="1686" t="s">
        <v>2206</v>
      </c>
      <c r="E31" s="1703">
        <f>SUM(E29:E30)</f>
        <v>0</v>
      </c>
      <c r="F31" s="1703">
        <f t="shared" ref="F31:G31" ca="1" si="3">SUM(F29:F30)</f>
        <v>0</v>
      </c>
      <c r="G31" s="1703">
        <f t="shared" si="3"/>
        <v>0</v>
      </c>
    </row>
    <row r="32" spans="1:7">
      <c r="A32" s="1864"/>
      <c r="B32" s="1863" t="s">
        <v>2217</v>
      </c>
      <c r="C32" s="1585">
        <v>8</v>
      </c>
      <c r="D32" s="1585" t="s">
        <v>2218</v>
      </c>
      <c r="E32" s="1703">
        <f ca="1">Energia!D11*Energia!D14</f>
        <v>1287955.9653249066</v>
      </c>
      <c r="F32" s="170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74044.85200701881</v>
      </c>
      <c r="G32" s="1703">
        <f>(SUMIFS(Financeiros[Valor],Financeiros[iddet1],19,Financeiros[iddet2],60,Financeiros[id_Detalhe_Grupo_TARIFA],C32))</f>
        <v>0</v>
      </c>
    </row>
    <row r="33" spans="1:7">
      <c r="A33" s="1864"/>
      <c r="B33" s="1863"/>
      <c r="C33" s="1585">
        <v>10</v>
      </c>
      <c r="D33" s="1585" t="s">
        <v>2219</v>
      </c>
      <c r="E33" s="1703">
        <f ca="1">Energia!D12*Energia!D14</f>
        <v>0</v>
      </c>
      <c r="F33" s="170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03">
        <f>(SUMIFS(Financeiros[Valor],Financeiros[iddet1],19,Financeiros[iddet2],60,Financeiros[id_Detalhe_Grupo_TARIFA],C33))</f>
        <v>0</v>
      </c>
    </row>
    <row r="34" spans="1:7">
      <c r="A34" s="1864"/>
      <c r="B34" s="1863"/>
      <c r="C34" s="1585">
        <v>9</v>
      </c>
      <c r="D34" s="1585" t="s">
        <v>2220</v>
      </c>
      <c r="E34" s="1703">
        <f ca="1">Energia!D10*Energia!D14</f>
        <v>0</v>
      </c>
      <c r="F34" s="170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03">
        <f>(SUMIFS(Financeiros[Valor],Financeiros[iddet1],19,Financeiros[iddet2],60,Financeiros[id_Detalhe_Grupo_TARIFA],C34))</f>
        <v>0</v>
      </c>
    </row>
    <row r="35" spans="1:7">
      <c r="A35" s="1864"/>
      <c r="B35" s="1863"/>
      <c r="C35" s="1585">
        <v>999</v>
      </c>
      <c r="D35" s="1585" t="s">
        <v>989</v>
      </c>
      <c r="E35" s="1703"/>
      <c r="F35" s="1703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03">
        <f>(SUMIFS(Financeiros[Valor],Financeiros[iddet1],19,Financeiros[iddet2],60,Financeiros[id_Detalhe_Grupo_TARIFA],C35))</f>
        <v>0</v>
      </c>
    </row>
    <row r="36" spans="1:7">
      <c r="A36" s="1864"/>
      <c r="B36" s="1863"/>
      <c r="C36" s="1585"/>
      <c r="D36" s="1686" t="s">
        <v>2206</v>
      </c>
      <c r="E36" s="1703">
        <f ca="1">SUM(E32:E35)</f>
        <v>1287955.9653249066</v>
      </c>
      <c r="F36" s="1703">
        <f t="shared" ref="F36:G36" ca="1" si="4">SUM(F32:F35)</f>
        <v>74044.85200701881</v>
      </c>
      <c r="G36" s="1703">
        <f t="shared" si="4"/>
        <v>0</v>
      </c>
    </row>
    <row r="37" spans="1:7">
      <c r="A37" s="1864"/>
      <c r="B37" s="1865" t="s">
        <v>2206</v>
      </c>
      <c r="C37" s="1865"/>
      <c r="D37" s="1865"/>
      <c r="E37" s="1703">
        <f ca="1">SUM(E18,E26,E28,E36,E31)</f>
        <v>46670673.964825176</v>
      </c>
      <c r="F37" s="1703">
        <f ca="1">SUM(F18,F26,F28,F36,F31)</f>
        <v>-12933726.545238497</v>
      </c>
      <c r="G37" s="1703">
        <f>SUM(G18,G26,G28,G36,G31)</f>
        <v>0</v>
      </c>
    </row>
    <row r="38" spans="1:7">
      <c r="A38" s="1863" t="s">
        <v>971</v>
      </c>
      <c r="B38" s="1863" t="s">
        <v>2077</v>
      </c>
      <c r="C38" s="1585">
        <v>19</v>
      </c>
      <c r="D38" s="1585" t="s">
        <v>48</v>
      </c>
      <c r="E38" s="1703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03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03">
        <f>(SUMIFS(Financeiros[Valor],Financeiros[iddet1],19,Financeiros[iddet2],60,Financeiros[id_Detalhe_Grupo_TARIFA],C38))</f>
        <v>0</v>
      </c>
    </row>
    <row r="39" spans="1:7">
      <c r="A39" s="1864"/>
      <c r="B39" s="1863"/>
      <c r="C39" s="1585">
        <v>17</v>
      </c>
      <c r="D39" s="1585" t="s">
        <v>46</v>
      </c>
      <c r="E39" s="1703">
        <f>Encargos!C9</f>
        <v>0</v>
      </c>
      <c r="F39" s="1703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03">
        <f>(SUMIFS(Financeiros[Valor],Financeiros[iddet1],19,Financeiros[iddet2],60,Financeiros[id_Detalhe_Grupo_TARIFA],C39))</f>
        <v>0</v>
      </c>
    </row>
    <row r="40" spans="1:7">
      <c r="A40" s="1864"/>
      <c r="B40" s="1863"/>
      <c r="C40" s="1585">
        <v>16</v>
      </c>
      <c r="D40" s="1585" t="s">
        <v>112</v>
      </c>
      <c r="E40" s="1703">
        <f>Encargos!C8</f>
        <v>0</v>
      </c>
      <c r="F40" s="1703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03">
        <f>(SUMIFS(Financeiros[Valor],Financeiros[iddet1],19,Financeiros[iddet2],60,Financeiros[id_Detalhe_Grupo_TARIFA],C40))</f>
        <v>0</v>
      </c>
    </row>
    <row r="41" spans="1:7">
      <c r="A41" s="1864"/>
      <c r="B41" s="1863"/>
      <c r="C41" s="1585">
        <v>25</v>
      </c>
      <c r="D41" s="1585" t="s">
        <v>2221</v>
      </c>
      <c r="E41" s="1703">
        <v>0</v>
      </c>
      <c r="F41" s="1703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03">
        <f>(SUMIFS(Financeiros[Valor],Financeiros[iddet1],19,Financeiros[iddet2],60,Financeiros[id_Detalhe_Grupo_TARIFA],C41))</f>
        <v>0</v>
      </c>
    </row>
    <row r="42" spans="1:7">
      <c r="A42" s="1864"/>
      <c r="B42" s="1863"/>
      <c r="C42" s="1585">
        <v>28</v>
      </c>
      <c r="D42" s="1585" t="s">
        <v>2056</v>
      </c>
      <c r="E42" s="1703">
        <f>Encargos!I21</f>
        <v>0</v>
      </c>
      <c r="F42" s="1703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03">
        <f>(SUMIFS(Financeiros[Valor],Financeiros[iddet1],19,Financeiros[iddet2],60,Financeiros[id_Detalhe_Grupo_TARIFA],C42))</f>
        <v>0</v>
      </c>
    </row>
    <row r="43" spans="1:7">
      <c r="A43" s="1864"/>
      <c r="B43" s="1863"/>
      <c r="C43" s="1585"/>
      <c r="D43" s="1686" t="s">
        <v>2206</v>
      </c>
      <c r="E43" s="1703">
        <f ca="1">SUM(E38:E42)</f>
        <v>0</v>
      </c>
      <c r="F43" s="1703">
        <f ca="1">SUM(F38:F42)</f>
        <v>0</v>
      </c>
      <c r="G43" s="1703">
        <f>SUM(G38:G42)</f>
        <v>0</v>
      </c>
    </row>
    <row r="44" spans="1:7">
      <c r="A44" s="1864"/>
      <c r="B44" s="1863" t="s">
        <v>2078</v>
      </c>
      <c r="C44" s="1585">
        <v>11</v>
      </c>
      <c r="D44" s="1585" t="s">
        <v>2222</v>
      </c>
      <c r="E44" s="1703">
        <f ca="1">Energia!D6*Energia!D14</f>
        <v>11703750.588352593</v>
      </c>
      <c r="F44" s="170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672851.01631794788</v>
      </c>
      <c r="G44" s="1703">
        <f>(SUMIFS(Financeiros[Valor],Financeiros[iddet1],19,Financeiros[iddet2],60,Financeiros[id_Detalhe_Grupo_TARIFA],C44))</f>
        <v>0</v>
      </c>
    </row>
    <row r="45" spans="1:7">
      <c r="A45" s="1864"/>
      <c r="B45" s="1863"/>
      <c r="C45" s="1585"/>
      <c r="D45" s="1686" t="s">
        <v>2206</v>
      </c>
      <c r="E45" s="1703">
        <f ca="1">SUM(E44)</f>
        <v>11703750.588352593</v>
      </c>
      <c r="F45" s="1703">
        <f ca="1">SUM(F44)</f>
        <v>672851.01631794788</v>
      </c>
      <c r="G45" s="1703">
        <f>SUM(G44)</f>
        <v>0</v>
      </c>
    </row>
    <row r="46" spans="1:7">
      <c r="A46" s="1864"/>
      <c r="B46" s="1863" t="s">
        <v>2207</v>
      </c>
      <c r="C46" s="1585">
        <v>21</v>
      </c>
      <c r="D46" s="1585" t="s">
        <v>975</v>
      </c>
      <c r="E46" s="1703">
        <f>Resultado!D29</f>
        <v>0</v>
      </c>
      <c r="F46" s="1703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03">
        <f>(SUMIFS(Financeiros[Valor],Financeiros[iddet1],19,Financeiros[iddet2],60,Financeiros[id_Detalhe_Grupo_TARIFA],C46))</f>
        <v>0</v>
      </c>
    </row>
    <row r="47" spans="1:7">
      <c r="A47" s="1864"/>
      <c r="B47" s="1863"/>
      <c r="C47" s="1585">
        <v>23</v>
      </c>
      <c r="D47" s="1585" t="s">
        <v>2223</v>
      </c>
      <c r="E47" s="1703">
        <f>Resultado!D30</f>
        <v>0</v>
      </c>
      <c r="F47" s="1703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03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4"/>
      <c r="B48" s="1863"/>
      <c r="C48" s="1585">
        <v>22</v>
      </c>
      <c r="D48" s="1585" t="s">
        <v>2224</v>
      </c>
      <c r="E48" s="1703">
        <f>0</f>
        <v>0</v>
      </c>
      <c r="F48" s="1703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03">
        <f>(SUMIFS(Financeiros[Valor],Financeiros[iddet1],19,Financeiros[iddet2],60,Financeiros[id_Detalhe_Grupo_TARIFA],C48))</f>
        <v>0</v>
      </c>
    </row>
    <row r="49" spans="1:7">
      <c r="A49" s="1864"/>
      <c r="B49" s="1863"/>
      <c r="C49" s="1585"/>
      <c r="D49" s="1686" t="s">
        <v>2206</v>
      </c>
      <c r="E49" s="1703">
        <f>SUM(E46:E48)</f>
        <v>0</v>
      </c>
      <c r="F49" s="1703">
        <f>SUM(F46:F48)</f>
        <v>0</v>
      </c>
      <c r="G49" s="1703">
        <f>SUM(G46:G48)</f>
        <v>0</v>
      </c>
    </row>
    <row r="50" spans="1:7">
      <c r="A50" s="1864"/>
      <c r="B50" s="1863" t="s">
        <v>2215</v>
      </c>
      <c r="C50" s="1585">
        <v>179</v>
      </c>
      <c r="D50" s="1585" t="s">
        <v>2216</v>
      </c>
      <c r="E50" s="1703">
        <v>0</v>
      </c>
      <c r="F50" s="1703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03">
        <f>SUMIFS(Financeiros[Valor],Financeiros[iddet1],19,Financeiros[iddet2],60,Financeiros[id_Detalhe_Grupo_TARIFA],C50)</f>
        <v>0</v>
      </c>
    </row>
    <row r="51" spans="1:7">
      <c r="A51" s="1864"/>
      <c r="B51" s="1863"/>
      <c r="C51" s="1585"/>
      <c r="D51" s="1585" t="s">
        <v>2206</v>
      </c>
      <c r="E51" s="1703">
        <f>SUM(E50)</f>
        <v>0</v>
      </c>
      <c r="F51" s="1703">
        <f ca="1">SUM(F50)</f>
        <v>0</v>
      </c>
      <c r="G51" s="1703">
        <f>SUM(G50)</f>
        <v>0</v>
      </c>
    </row>
    <row r="52" spans="1:7">
      <c r="A52" s="1864"/>
      <c r="B52" s="1863" t="s">
        <v>2217</v>
      </c>
      <c r="C52" s="1585">
        <v>24</v>
      </c>
      <c r="D52" s="1585" t="s">
        <v>2225</v>
      </c>
      <c r="E52" s="1703">
        <f ca="1">Energia!D13*Energia!D14</f>
        <v>0</v>
      </c>
      <c r="F52" s="170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03">
        <f>(SUMIFS(Financeiros[Valor],Financeiros[iddet1],19,Financeiros[iddet2],60,Financeiros[id_Detalhe_Grupo_TARIFA],C52))</f>
        <v>0</v>
      </c>
    </row>
    <row r="53" spans="1:7">
      <c r="A53" s="1864"/>
      <c r="B53" s="1863"/>
      <c r="C53" s="1585"/>
      <c r="D53" s="1686" t="s">
        <v>2206</v>
      </c>
      <c r="E53" s="1703">
        <f ca="1">SUM(E52)</f>
        <v>0</v>
      </c>
      <c r="F53" s="1703">
        <f t="shared" ref="F53:G53" ca="1" si="5">SUM(F52)</f>
        <v>0</v>
      </c>
      <c r="G53" s="1703">
        <f t="shared" si="5"/>
        <v>0</v>
      </c>
    </row>
    <row r="54" spans="1:7">
      <c r="A54" s="1864"/>
      <c r="B54" s="1865" t="s">
        <v>2206</v>
      </c>
      <c r="C54" s="1865"/>
      <c r="D54" s="1865"/>
      <c r="E54" s="1703">
        <f ca="1">SUM(E43,E45,E49,E53,E51)</f>
        <v>11703750.588352593</v>
      </c>
      <c r="F54" s="1703">
        <f t="shared" ref="F54:G54" ca="1" si="6">SUM(F43,F45,F49,F53,F51)</f>
        <v>672851.01631794788</v>
      </c>
      <c r="G54" s="1703">
        <f t="shared" si="6"/>
        <v>0</v>
      </c>
    </row>
    <row r="55" spans="1:7">
      <c r="A55" s="1863" t="s">
        <v>760</v>
      </c>
      <c r="B55" s="1863"/>
      <c r="C55" s="1863"/>
      <c r="D55" s="1863"/>
      <c r="E55" s="1703">
        <f ca="1">E37+E54</f>
        <v>58374424.553177767</v>
      </c>
      <c r="F55" s="1703">
        <f t="shared" ref="F55:G55" ca="1" si="7">F37+F54</f>
        <v>-12260875.528920548</v>
      </c>
      <c r="G55" s="1703">
        <f t="shared" si="7"/>
        <v>0</v>
      </c>
    </row>
    <row r="56" spans="1:7">
      <c r="E56" s="1704"/>
      <c r="F56" s="1704"/>
      <c r="G56" s="1704"/>
    </row>
    <row r="57" spans="1:7">
      <c r="D57" s="1686" t="s">
        <v>2281</v>
      </c>
      <c r="E57" s="1703">
        <f ca="1">Resultado!C5</f>
        <v>58374424.553177767</v>
      </c>
      <c r="F57" s="1703">
        <f ca="1">(SUMIFS(Financeiros[Valor],Financeiros[iddet1],20)+SUMIFS(Financeiros[Valor],Financeiros[iddet1],22)+SUMIFS(Financeiros[Valor],Financeiros[iddet1],19,Financeiros[iddet2],64))</f>
        <v>-12260875.528920548</v>
      </c>
      <c r="G57" s="1703">
        <f>(SUMIFS(Financeiros[Valor],Financeiros[iddet1],19,Financeiros[iddet2],60))</f>
        <v>0</v>
      </c>
    </row>
    <row r="58" spans="1:7">
      <c r="D58" s="1686" t="s">
        <v>2226</v>
      </c>
      <c r="E58" s="1703" t="str">
        <f ca="1">IF(ABS(E55-E57)&gt;1,"verificar sparta","ok")</f>
        <v>ok</v>
      </c>
      <c r="F58" s="1703" t="str">
        <f t="shared" ref="F58" ca="1" si="8">IF(ABS(F55-F57)&gt;1,"verificar sparta","ok")</f>
        <v>ok</v>
      </c>
      <c r="G58" s="1703" t="str">
        <f>IF(ABS(G55-G57)&gt;1,"verificar sparta","ok")</f>
        <v>ok</v>
      </c>
    </row>
    <row r="59" spans="1:7">
      <c r="E59" s="1704"/>
      <c r="F59" s="1704"/>
      <c r="G59" s="1704"/>
    </row>
    <row r="60" spans="1:7">
      <c r="D60" s="1686" t="s">
        <v>2227</v>
      </c>
      <c r="E60" s="1703">
        <f ca="1">SUMIFS(TabelaBadNet[valor],TabelaBadNet[id_Natureza_dado],2,TabelaBadNet[id_Detalhe_Natureza],1,TabelaBadNet[id_Unidade],3,TabelaBadNet[idDet1],51)</f>
        <v>58374424.553177767</v>
      </c>
      <c r="F60" s="1703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-12260875.528920548</v>
      </c>
      <c r="G60" s="1703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6" t="s">
        <v>2226</v>
      </c>
      <c r="E61" s="1703" t="str">
        <f ca="1">IF(ABS(E60-E55)&gt;1,"verificar badnet","ok")</f>
        <v>ok</v>
      </c>
      <c r="F61" s="1703" t="str">
        <f t="shared" ref="F61:G61" ca="1" si="9">IF(ABS(F60-F55)&gt;1,"verificar badnet","ok")</f>
        <v>ok</v>
      </c>
      <c r="G61" s="1703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/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7.1900000000000006E-2</v>
      </c>
      <c r="Q6" s="232">
        <f ca="1">Resultado!C7</f>
        <v>7.1900000000000006E-2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-0.22509999999999999</v>
      </c>
      <c r="Q7" s="232">
        <f ca="1">Resultado!C8</f>
        <v>-0.22509999999999999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-0.1532</v>
      </c>
      <c r="Q8" s="232">
        <f ca="1">Resultado!C9</f>
        <v>-0.1532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0.25319214403612694</v>
      </c>
      <c r="Q9" s="232">
        <f ca="1">IF(ISERROR(LnkTXTICMS),0,LnkTXTICMS)</f>
        <v>0.25319214403612694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3.4486170621406985E-2</v>
      </c>
      <c r="Q10" s="232">
        <f ca="1">IF(ISERROR(LNKTXTPercPISCOFINS),0,LNKTXTPercPISCOFINS)</f>
        <v>3.4486170621406985E-2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109835.60937026615</v>
      </c>
      <c r="Q13" s="232">
        <f ca="1">Resultado!D17</f>
        <v>109835.60937026615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7706465.960090002</v>
      </c>
      <c r="Q14" s="232">
        <f ca="1">Encargos!I19</f>
        <v>7706465.960090002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1291204.2324600006</v>
      </c>
      <c r="Q17" s="232">
        <f ca="1">Resultado!D21</f>
        <v>1291204.2324600006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10275212.197579999</v>
      </c>
      <c r="Q21" s="232">
        <f>Q22/(1-Q20)</f>
        <v>10275212.197579999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10275212.197579999</v>
      </c>
      <c r="Q22" s="232">
        <f>CUSD!C3</f>
        <v>10275212.197579999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101628.07300000003</v>
      </c>
      <c r="Q31" s="232">
        <f ca="1">Energia!D5</f>
        <v>101628.07300000003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10075.080000000002</v>
      </c>
      <c r="Q32" s="232">
        <f ca="1">Energia!N17</f>
        <v>10075.080000000002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9.913678083810562E-2</v>
      </c>
      <c r="Q36" s="232">
        <f ca="1">Energia!N14</f>
        <v>9.913678083810562E-2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12991706.553677499</v>
      </c>
      <c r="Q39" s="232">
        <f ca="1">Energia!D15</f>
        <v>12991706.553677499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127.8358053062513</v>
      </c>
      <c r="Q40" s="232">
        <f ca="1">Energia!D14</f>
        <v>127.8358053062513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1635.6737817539956</v>
      </c>
      <c r="Q41" s="232">
        <f>Energia!C20</f>
        <v>1635.6737817539956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99992.399218246035</v>
      </c>
      <c r="Q42" s="232">
        <f ca="1">Energia!C23</f>
        <v>99992.399218246035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12991706.553677499</v>
      </c>
      <c r="Q43" s="232">
        <f ca="1">Energia!F23</f>
        <v>12991706.553677499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0.54410000000000003</v>
      </c>
      <c r="Q47" s="232">
        <f>Energia!F28</f>
        <v>0.54410000000000003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91552.993000000031</v>
      </c>
      <c r="Q52" s="232">
        <f ca="1">FornecimentoE</f>
        <v>91552.993000000031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32076.109000000015</v>
      </c>
      <c r="Q62" s="232">
        <f ca="1">Calc_Mercado!C13</f>
        <v>32076.109000000015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59476.884000000013</v>
      </c>
      <c r="Q64" s="232">
        <f ca="1">FornecimentoE_BT</f>
        <v>59476.884000000013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54392515.760000005</v>
      </c>
      <c r="Q65" s="232">
        <f ca="1">Calc_Mercado!D8</f>
        <v>54392515.760000005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64684.44000000001</v>
      </c>
      <c r="Q70" s="232">
        <f ca="1">Calc_Mercado!D21</f>
        <v>64684.44000000001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15238433.705429997</v>
      </c>
      <c r="Q75" s="232">
        <f ca="1">Calc_Mercado!D13</f>
        <v>15238433.705429997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39154082.054570004</v>
      </c>
      <c r="Q77" s="232">
        <f ca="1">Calc_Mercado!D15</f>
        <v>39154082.054570004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91552.993000000031</v>
      </c>
      <c r="Q80" s="232">
        <f ca="1">LnkTXTEV</f>
        <v>91552.993000000031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26000000</v>
      </c>
      <c r="Q81" s="232">
        <f>Resultado!D39</f>
        <v>26000000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101628.07300000003</v>
      </c>
      <c r="Q87" s="232">
        <f ca="1">Energia!D5</f>
        <v>101628.07300000003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12991706.553677499</v>
      </c>
      <c r="Q88" s="232">
        <f ca="1">Energia!D15</f>
        <v>12991706.553677499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32374424.553177767</v>
      </c>
      <c r="Q89" s="232">
        <f ca="1">Resultado!D34</f>
        <v>32374424.553177767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26000000</v>
      </c>
      <c r="Q90" s="232">
        <f>Resultado!D39</f>
        <v>26000000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9107505.8019202687</v>
      </c>
      <c r="Q91" s="232">
        <f ca="1">Resultado!D14</f>
        <v>9107505.8019202687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10275212.197579999</v>
      </c>
      <c r="Q92" s="232">
        <f>Resultado!D24</f>
        <v>10275212.197579999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58374424.553177767</v>
      </c>
      <c r="Q93" s="232">
        <f ca="1">Resultado!C5</f>
        <v>58374424.553177767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14158165.283587661</v>
      </c>
      <c r="Q96" s="232">
        <f ca="1">Resultado!C33</f>
        <v>14158165.283587661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54457200.200000003</v>
      </c>
      <c r="Q97" s="232">
        <f ca="1">Mercado_RA0_Reais</f>
        <v>54457200.200000003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-12260875.528920548</v>
      </c>
      <c r="Q98" s="232">
        <f ca="1">Financeiros!D7</f>
        <v>-12260875.528920548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-0.22514700505885621</v>
      </c>
      <c r="Q99" s="232">
        <f ca="1">Financeiros!E7</f>
        <v>-0.22514700505885621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46113549.02425722</v>
      </c>
      <c r="Q100" s="232">
        <f ca="1">Resultado!C5+Financeiros!D7/(1+IF(Q86&gt;0,Q86,0))</f>
        <v>46113549.02425722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101628.07300000003</v>
      </c>
      <c r="Q102" s="232">
        <f ca="1">Energia!D5</f>
        <v>101628.07300000003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12991706.553677499</v>
      </c>
      <c r="Q103" s="232">
        <f ca="1">Energia!D15</f>
        <v>12991706.553677499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10075.080000000002</v>
      </c>
      <c r="Q104" s="232">
        <f ca="1">SUM(LnkTXTPerdas)</f>
        <v>10075.080000000002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162202</v>
      </c>
      <c r="Q105" s="232">
        <f ca="1">SUM(INDIRECT("dados_MercadoBase[D]"))</f>
        <v>162202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91552.993000000104</v>
      </c>
      <c r="Q106" s="232">
        <f ca="1">SUM(INDIRECT("dados_MercadoBase[TUSD_E]"))</f>
        <v>91552.993000000104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91552.993000000104</v>
      </c>
      <c r="Q113" s="232">
        <f ca="1">SUM(INDIRECT("dados_MercadoBase[TE_E]"))</f>
        <v>91552.993000000104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13436725.361869987</v>
      </c>
      <c r="Q116" s="232">
        <f>CAPA!D32</f>
        <v>13436725.361869987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12563274.638130013</v>
      </c>
      <c r="Q118" s="232">
        <f>CAPA!D33</f>
        <v>12563274.638130013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26000000</v>
      </c>
      <c r="Q119" s="232">
        <f>Resultado!D39</f>
        <v>26000000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126.67101481007269</v>
      </c>
      <c r="Q122" s="232">
        <f>'Tabelas e Gráficos'!BP312</f>
        <v>126.67101481007269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-294.71556428033</v>
      </c>
      <c r="Q124" s="232">
        <f>'Tabelas e Gráficos'!BP314</f>
        <v>-294.71556428033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-29971.721910984332</v>
      </c>
      <c r="Q125" s="232">
        <f>'Tabelas e Gráficos'!BP315</f>
        <v>-29971.721910984332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-379.05536016054248</v>
      </c>
      <c r="Q126" s="232">
        <f>'Tabelas e Gráficos'!BP316</f>
        <v>-379.05536016054248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1420.9031206238662</v>
      </c>
      <c r="Q128" s="232">
        <f>'Tabelas e Gráficos'!BQ312</f>
        <v>1420.9031206238662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4347.0562685329214</v>
      </c>
      <c r="Q130" s="232">
        <f>'Tabelas e Gráficos'!BQ314</f>
        <v>4347.0562685329214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110559.08975179103</v>
      </c>
      <c r="Q131" s="232">
        <f>'Tabelas e Gráficos'!BQ315</f>
        <v>110559.08975179103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4699.9595168518726</v>
      </c>
      <c r="Q132" s="232">
        <f>'Tabelas e Gráficos'!BQ316</f>
        <v>4699.9595168518726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1547.5741354339389</v>
      </c>
      <c r="Q134" s="232">
        <f>'Tabelas e Gráficos'!BR312</f>
        <v>1547.5741354339389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4052.3407042525914</v>
      </c>
      <c r="Q136" s="232">
        <f>'Tabelas e Gráficos'!BR314</f>
        <v>4052.3407042525914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80587.367840806706</v>
      </c>
      <c r="Q137" s="232">
        <f>'Tabelas e Gráficos'!BR315</f>
        <v>80587.367840806706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4320.9041566913302</v>
      </c>
      <c r="Q138" s="232">
        <f>'Tabelas e Gráficos'!BR316</f>
        <v>4320.9041566913302</v>
      </c>
    </row>
    <row r="139" spans="1:17" ht="15.75">
      <c r="A139" s="846" t="s">
        <v>696</v>
      </c>
      <c r="B139" s="846" t="s">
        <v>72</v>
      </c>
      <c r="C139" s="846" t="s">
        <v>1508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1461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0.10044212383597759</v>
      </c>
      <c r="Q146" s="232">
        <f ca="1">Energia!L35</f>
        <v>0.10044212383597759</v>
      </c>
    </row>
    <row r="147" spans="1:17" ht="15.75">
      <c r="A147" s="846" t="s">
        <v>696</v>
      </c>
      <c r="B147" s="846" t="s">
        <v>1290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348651.64813845983</v>
      </c>
      <c r="Q147" s="232">
        <f>Financeiros!D9</f>
        <v>348651.64813845983</v>
      </c>
    </row>
    <row r="148" spans="1:17" ht="15.75">
      <c r="A148" s="846" t="s">
        <v>696</v>
      </c>
      <c r="B148" s="846" t="s">
        <v>1290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465434.49989665137</v>
      </c>
      <c r="Q148" s="232">
        <f ca="1">Financeiros!D10</f>
        <v>465434.49989665137</v>
      </c>
    </row>
    <row r="149" spans="1:17" ht="15.75">
      <c r="A149" s="846" t="s">
        <v>696</v>
      </c>
      <c r="B149" s="846" t="s">
        <v>1290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1290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51219.40493216594</v>
      </c>
      <c r="Q150" s="232">
        <f ca="1">Financeiros!D12</f>
        <v>51219.40493216594</v>
      </c>
    </row>
    <row r="151" spans="1:17" ht="15.75">
      <c r="A151" s="846" t="s">
        <v>696</v>
      </c>
      <c r="B151" s="846" t="s">
        <v>1290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696</v>
      </c>
      <c r="B152" s="846" t="s">
        <v>1290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696</v>
      </c>
      <c r="B153" s="846" t="s">
        <v>1290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4204.1088071347203</v>
      </c>
      <c r="Q153" s="232">
        <f ca="1">Financeiros!D15</f>
        <v>4204.1088071347203</v>
      </c>
    </row>
    <row r="154" spans="1:17" ht="15.75">
      <c r="A154" s="846" t="s">
        <v>696</v>
      </c>
      <c r="B154" s="846" t="s">
        <v>1290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181053.9608331761</v>
      </c>
      <c r="Q154" s="232">
        <f ca="1">Financeiros!D16</f>
        <v>181053.9608331761</v>
      </c>
    </row>
    <row r="155" spans="1:17" ht="15.75">
      <c r="A155" s="846" t="s">
        <v>696</v>
      </c>
      <c r="B155" s="846" t="s">
        <v>1290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1290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696</v>
      </c>
      <c r="B157" s="846" t="s">
        <v>1290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27576.297970177777</v>
      </c>
      <c r="Q157" s="232">
        <f ca="1">Financeiros!D19</f>
        <v>27576.297970177777</v>
      </c>
    </row>
    <row r="158" spans="1:17" ht="15.75">
      <c r="A158" s="846" t="s">
        <v>696</v>
      </c>
      <c r="B158" s="846" t="s">
        <v>1290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696</v>
      </c>
      <c r="B159" s="846" t="s">
        <v>1290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696</v>
      </c>
      <c r="B160" s="846" t="s">
        <v>1290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696</v>
      </c>
      <c r="B161" s="846" t="s">
        <v>1290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696</v>
      </c>
      <c r="B162" s="846" t="s">
        <v>1290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696</v>
      </c>
      <c r="B163" s="846" t="s">
        <v>1290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696</v>
      </c>
      <c r="B164" s="846" t="s">
        <v>1290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696</v>
      </c>
      <c r="B165" s="846" t="s">
        <v>1290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696</v>
      </c>
      <c r="B166" s="846" t="s">
        <v>1290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696</v>
      </c>
      <c r="B167" s="846" t="s">
        <v>1290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-22050.655122158136</v>
      </c>
      <c r="Q167" s="232">
        <f>Financeiros!D29</f>
        <v>-22050.655122158136</v>
      </c>
    </row>
    <row r="168" spans="1:17" ht="15.75">
      <c r="A168" s="846" t="s">
        <v>696</v>
      </c>
      <c r="B168" s="846" t="s">
        <v>1290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-11769398.069312805</v>
      </c>
      <c r="Q168" s="232">
        <f ca="1">Financeiros!D30</f>
        <v>-11769398.069312805</v>
      </c>
    </row>
    <row r="169" spans="1:17" ht="15.75">
      <c r="A169" s="846" t="s">
        <v>696</v>
      </c>
      <c r="B169" s="846" t="s">
        <v>1290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-662461.38184623118</v>
      </c>
      <c r="Q169" s="232">
        <f>Financeiros!D31</f>
        <v>-662461.38184623118</v>
      </c>
    </row>
    <row r="170" spans="1:17" ht="15.75">
      <c r="A170" s="846" t="s">
        <v>696</v>
      </c>
      <c r="B170" s="846" t="s">
        <v>1290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696</v>
      </c>
      <c r="B171" s="846" t="s">
        <v>1290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696</v>
      </c>
      <c r="B172" s="846" t="s">
        <v>1290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696</v>
      </c>
      <c r="B173" s="846" t="s">
        <v>1290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696</v>
      </c>
      <c r="B174" s="846" t="s">
        <v>1290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1290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696</v>
      </c>
      <c r="B176" s="846" t="s">
        <v>1290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696</v>
      </c>
      <c r="B177" s="846" t="s">
        <v>1290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696</v>
      </c>
      <c r="B178" s="846" t="s">
        <v>1290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-348651.64813845983</v>
      </c>
      <c r="Q178" s="232">
        <f>Financeiros!D40</f>
        <v>-348651.64813845983</v>
      </c>
    </row>
    <row r="179" spans="1:17" ht="15.75">
      <c r="A179" s="846" t="s">
        <v>696</v>
      </c>
      <c r="B179" s="846" t="s">
        <v>1290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ca="1" si="6"/>
        <v>-516653.90482881729</v>
      </c>
      <c r="Q179" s="232">
        <f ca="1">Financeiros!D41</f>
        <v>-516653.90482881729</v>
      </c>
    </row>
    <row r="180" spans="1:17" ht="15.75">
      <c r="A180" s="846" t="s">
        <v>696</v>
      </c>
      <c r="B180" s="846" t="s">
        <v>1290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696</v>
      </c>
      <c r="B181" s="846" t="s">
        <v>1290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696</v>
      </c>
      <c r="B182" s="846" t="s">
        <v>1290</v>
      </c>
      <c r="C182" s="846" t="str">
        <f>Financeiros!C44</f>
        <v>Diferimento de Energia</v>
      </c>
      <c r="D182" s="846">
        <v>2</v>
      </c>
      <c r="E182" s="846">
        <v>2</v>
      </c>
      <c r="F182" s="846">
        <v>999</v>
      </c>
      <c r="G182" s="846">
        <v>999999</v>
      </c>
      <c r="H182" s="846">
        <v>999</v>
      </c>
      <c r="I182" s="846">
        <v>99</v>
      </c>
      <c r="J182" s="846">
        <v>999</v>
      </c>
      <c r="K182" s="846"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696</v>
      </c>
      <c r="B183" s="846" t="s">
        <v>1290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696</v>
      </c>
      <c r="B184" s="846" t="s">
        <v>1290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22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696</v>
      </c>
      <c r="B185" s="846" t="s">
        <v>1290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1070842.9595789597</v>
      </c>
      <c r="Q185" s="232">
        <f>Financeiros!D47</f>
        <v>1070842.9595789597</v>
      </c>
    </row>
    <row r="186" spans="1:17" ht="15.75">
      <c r="A186" s="846" t="s">
        <v>696</v>
      </c>
      <c r="B186" s="846" t="s">
        <v>1290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f>Financeiros!M48</f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1409357.2501711978</v>
      </c>
      <c r="Q186" s="232">
        <f>Financeiros!D48</f>
        <v>1409357.2501711978</v>
      </c>
    </row>
    <row r="187" spans="1:17" ht="15.75">
      <c r="A187" s="846" t="s">
        <v>696</v>
      </c>
      <c r="B187" s="846" t="s">
        <v>1290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696</v>
      </c>
      <c r="B188" s="846" t="s">
        <v>1290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696</v>
      </c>
      <c r="B189" s="846" t="s">
        <v>1290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696</v>
      </c>
      <c r="B190" s="846" t="s">
        <v>1290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696</v>
      </c>
      <c r="B191" s="846" t="s">
        <v>1290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696</v>
      </c>
      <c r="B192" s="846" t="s">
        <v>1290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696</v>
      </c>
      <c r="B193" s="846" t="s">
        <v>1290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696</v>
      </c>
      <c r="B194" s="846" t="s">
        <v>1290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696</v>
      </c>
      <c r="B195" s="846" t="s">
        <v>1290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1290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696</v>
      </c>
      <c r="B197" s="846" t="s">
        <v>1290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1290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696</v>
      </c>
      <c r="B199" s="846" t="s">
        <v>1290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696</v>
      </c>
      <c r="B200" s="846" t="s">
        <v>1290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696</v>
      </c>
      <c r="B201" s="846" t="s">
        <v>1290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696</v>
      </c>
      <c r="B202" s="846" t="s">
        <v>1290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1290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696</v>
      </c>
      <c r="B204" s="846" t="s">
        <v>1290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696</v>
      </c>
      <c r="B205" s="846" t="s">
        <v>1290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696</v>
      </c>
      <c r="B206" s="846" t="s">
        <v>1290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696</v>
      </c>
      <c r="B207" s="846" t="s">
        <v>1290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696</v>
      </c>
      <c r="B208" s="846" t="s">
        <v>1290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696</v>
      </c>
      <c r="B209" s="846" t="s">
        <v>1290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696</v>
      </c>
      <c r="B210" s="846" t="s">
        <v>1290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>
      <c r="A211" s="846" t="s">
        <v>696</v>
      </c>
      <c r="B211" s="846" t="s">
        <v>1290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696</v>
      </c>
      <c r="B212" s="846" t="s">
        <v>1290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6" t="s">
        <v>696</v>
      </c>
      <c r="B213" s="846" t="s">
        <v>1290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696</v>
      </c>
      <c r="B214" s="846" t="s">
        <v>1290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1290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696</v>
      </c>
      <c r="B216" s="846" t="s">
        <v>1290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1290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696</v>
      </c>
      <c r="B218" s="846" t="s">
        <v>1290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696</v>
      </c>
      <c r="B219" s="846" t="s">
        <v>1290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696</v>
      </c>
      <c r="B220" s="846" t="s">
        <v>1290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696</v>
      </c>
      <c r="B221" s="846" t="s">
        <v>1290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1290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696</v>
      </c>
      <c r="B223" s="846" t="s">
        <v>1290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696</v>
      </c>
      <c r="B224" s="846" t="s">
        <v>1290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696</v>
      </c>
      <c r="B225" s="846" t="s">
        <v>1290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696</v>
      </c>
      <c r="B226" s="846" t="s">
        <v>1290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1290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696</v>
      </c>
      <c r="B228" s="846" t="s">
        <v>1290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696</v>
      </c>
      <c r="B229" s="846" t="s">
        <v>1290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696</v>
      </c>
      <c r="B230" s="846" t="s">
        <v>1290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696</v>
      </c>
      <c r="B231" s="846" t="s">
        <v>1290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696</v>
      </c>
      <c r="B232" s="846" t="s">
        <v>1290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696</v>
      </c>
      <c r="B233" s="846" t="s">
        <v>1290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696</v>
      </c>
      <c r="B234" s="846" t="s">
        <v>1290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696</v>
      </c>
      <c r="B235" s="846" t="s">
        <v>1290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f>Financeiros!H97</f>
        <v>22</v>
      </c>
      <c r="G235" s="846">
        <f>Financeiros!I97</f>
        <v>60</v>
      </c>
      <c r="H235" s="846">
        <f>Financeiros!J97</f>
        <v>999</v>
      </c>
      <c r="I235" s="846">
        <f>Financeiros!K97</f>
        <v>1</v>
      </c>
      <c r="J235" s="846">
        <f>Financeiros!L97</f>
        <v>7</v>
      </c>
      <c r="K235" s="846">
        <f>Financeiros!M97</f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-2500000</v>
      </c>
      <c r="Q235" s="232">
        <f>Financeiros!D97</f>
        <v>-2500000</v>
      </c>
    </row>
    <row r="236" spans="1:17" ht="15.75">
      <c r="A236" s="846" t="s">
        <v>696</v>
      </c>
      <c r="B236" s="846" t="s">
        <v>1290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696</v>
      </c>
      <c r="B237" s="846" t="s">
        <v>1290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696</v>
      </c>
      <c r="B238" s="846" t="s">
        <v>1290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82" t="s">
        <v>1475</v>
      </c>
      <c r="B239" s="1683" t="s">
        <v>1475</v>
      </c>
      <c r="C239" s="1683" t="s">
        <v>1475</v>
      </c>
      <c r="D239" s="1683">
        <v>99</v>
      </c>
      <c r="E239" s="1683">
        <v>99</v>
      </c>
      <c r="F239" s="1683">
        <v>999</v>
      </c>
      <c r="G239" s="1683">
        <v>999999</v>
      </c>
      <c r="H239" s="1683">
        <v>999</v>
      </c>
      <c r="I239" s="1683">
        <v>99</v>
      </c>
      <c r="J239" s="1683">
        <v>999</v>
      </c>
      <c r="K239" s="1683">
        <v>9</v>
      </c>
      <c r="L239" s="1683">
        <v>99</v>
      </c>
      <c r="M239" s="1683">
        <v>9</v>
      </c>
      <c r="N239" s="1683">
        <v>99</v>
      </c>
      <c r="O239" s="1680">
        <v>99999</v>
      </c>
      <c r="P239" s="1684">
        <f>IF(ISNUMBER(Q239),Q239,0)</f>
        <v>0</v>
      </c>
      <c r="Q239" s="1685">
        <v>0</v>
      </c>
    </row>
    <row r="240" spans="1:17" ht="15.75">
      <c r="A240" s="1682" t="s">
        <v>1475</v>
      </c>
      <c r="B240" s="1683" t="s">
        <v>1475</v>
      </c>
      <c r="C240" s="1683" t="s">
        <v>1475</v>
      </c>
      <c r="D240" s="1683">
        <v>99</v>
      </c>
      <c r="E240" s="1683">
        <v>99</v>
      </c>
      <c r="F240" s="1683">
        <v>999</v>
      </c>
      <c r="G240" s="1683">
        <v>999999</v>
      </c>
      <c r="H240" s="1683">
        <v>999</v>
      </c>
      <c r="I240" s="1683">
        <v>99</v>
      </c>
      <c r="J240" s="1683">
        <v>999</v>
      </c>
      <c r="K240" s="1683">
        <v>9</v>
      </c>
      <c r="L240" s="1683">
        <v>99</v>
      </c>
      <c r="M240" s="1683">
        <v>9</v>
      </c>
      <c r="N240" s="1683">
        <v>99</v>
      </c>
      <c r="O240" s="1680">
        <v>99999</v>
      </c>
      <c r="P240" s="1684">
        <f>IF(ISNUMBER(Q240),Q240,0)</f>
        <v>0</v>
      </c>
      <c r="Q240" s="1685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2" bestFit="1" customWidth="1"/>
    <col min="2" max="2" width="12.5703125" style="492" bestFit="1" customWidth="1"/>
    <col min="3" max="3" width="10.140625" style="492" customWidth="1"/>
    <col min="4" max="4" width="50.42578125" style="492" bestFit="1" customWidth="1"/>
    <col min="5" max="5" width="41.140625" style="492" bestFit="1" customWidth="1"/>
    <col min="6" max="6" width="43.28515625" style="492" bestFit="1" customWidth="1"/>
    <col min="7" max="7" width="34.7109375" style="492" bestFit="1" customWidth="1"/>
    <col min="8" max="8" width="42.7109375" style="492" bestFit="1" customWidth="1"/>
    <col min="9" max="9" width="33.42578125" style="492" bestFit="1" customWidth="1"/>
    <col min="10" max="10" width="25.42578125" style="492" bestFit="1" customWidth="1"/>
    <col min="11" max="11" width="30.85546875" style="492" bestFit="1" customWidth="1"/>
    <col min="12" max="14" width="13" style="492" customWidth="1"/>
    <col min="15" max="15" width="12.5703125" style="492" bestFit="1" customWidth="1"/>
    <col min="16" max="16" width="12.5703125" style="492" customWidth="1"/>
    <col min="17" max="19" width="13" style="492" customWidth="1"/>
    <col min="20" max="20" width="41.140625" style="492" customWidth="1"/>
    <col min="21" max="22" width="13" style="492" customWidth="1"/>
    <col min="23" max="33" width="13" style="492" bestFit="1" customWidth="1"/>
    <col min="34" max="36" width="12.5703125" style="492" bestFit="1" customWidth="1"/>
    <col min="37" max="37" width="49.42578125" style="492" bestFit="1" customWidth="1"/>
    <col min="38" max="38" width="17.5703125" style="492" bestFit="1" customWidth="1"/>
    <col min="39" max="39" width="18" style="492" bestFit="1" customWidth="1"/>
    <col min="40" max="40" width="17.5703125" style="492" bestFit="1" customWidth="1"/>
    <col min="41" max="41" width="18" style="492" bestFit="1" customWidth="1"/>
    <col min="42" max="42" width="17" style="492" bestFit="1" customWidth="1"/>
    <col min="43" max="43" width="17.5703125" style="492" bestFit="1" customWidth="1"/>
    <col min="44" max="44" width="18" style="492" bestFit="1" customWidth="1"/>
    <col min="45" max="47" width="17.5703125" style="492" bestFit="1" customWidth="1"/>
    <col min="48" max="48" width="17" style="492" bestFit="1" customWidth="1"/>
    <col min="49" max="51" width="17.5703125" style="492" bestFit="1" customWidth="1"/>
    <col min="52" max="52" width="17" style="492" bestFit="1" customWidth="1"/>
    <col min="53" max="53" width="17.5703125" style="492" bestFit="1" customWidth="1"/>
    <col min="54" max="54" width="40.85546875" style="492" bestFit="1" customWidth="1"/>
    <col min="55" max="70" width="10.140625" style="492" bestFit="1" customWidth="1"/>
    <col min="71" max="71" width="42.7109375" style="492" bestFit="1" customWidth="1"/>
    <col min="72" max="72" width="16.5703125" style="492" bestFit="1" customWidth="1"/>
    <col min="73" max="75" width="17.5703125" style="492" bestFit="1" customWidth="1"/>
    <col min="76" max="76" width="17" style="492" bestFit="1" customWidth="1"/>
    <col min="77" max="77" width="17.5703125" style="492" bestFit="1" customWidth="1"/>
    <col min="78" max="79" width="17" style="492" bestFit="1" customWidth="1"/>
    <col min="80" max="80" width="17.5703125" style="492" bestFit="1" customWidth="1"/>
    <col min="81" max="82" width="17" style="492" bestFit="1" customWidth="1"/>
    <col min="83" max="84" width="17.5703125" style="492" bestFit="1" customWidth="1"/>
    <col min="85" max="86" width="18" style="492" bestFit="1" customWidth="1"/>
    <col min="87" max="87" width="17" style="492" bestFit="1" customWidth="1"/>
    <col min="88" max="88" width="33.42578125" style="492" bestFit="1" customWidth="1"/>
    <col min="89" max="104" width="10.140625" style="492" bestFit="1" customWidth="1"/>
    <col min="105" max="105" width="25.42578125" style="492" bestFit="1" customWidth="1"/>
    <col min="106" max="119" width="10.140625" style="492" bestFit="1" customWidth="1"/>
    <col min="120" max="120" width="11.140625" style="492" bestFit="1" customWidth="1"/>
    <col min="121" max="121" width="10.140625" style="492" bestFit="1" customWidth="1"/>
    <col min="122" max="122" width="30.85546875" style="492" bestFit="1" customWidth="1"/>
    <col min="123" max="123" width="13.42578125" style="492" bestFit="1" customWidth="1"/>
    <col min="124" max="125" width="14" style="492" bestFit="1" customWidth="1"/>
    <col min="126" max="126" width="13.42578125" style="492" bestFit="1" customWidth="1"/>
    <col min="127" max="127" width="14.42578125" style="492" bestFit="1" customWidth="1"/>
    <col min="128" max="130" width="14" style="492" bestFit="1" customWidth="1"/>
    <col min="131" max="131" width="14.42578125" style="492" bestFit="1" customWidth="1"/>
    <col min="132" max="132" width="14" style="492" bestFit="1" customWidth="1"/>
    <col min="133" max="133" width="14.42578125" style="492" bestFit="1" customWidth="1"/>
    <col min="134" max="134" width="14" style="492" bestFit="1" customWidth="1"/>
    <col min="135" max="135" width="13.42578125" style="492" bestFit="1" customWidth="1"/>
    <col min="136" max="138" width="14.42578125" style="492" bestFit="1" customWidth="1"/>
    <col min="139" max="16384" width="9.140625" style="492"/>
  </cols>
  <sheetData>
    <row r="1" spans="1:138">
      <c r="A1" s="1390" t="s">
        <v>1515</v>
      </c>
      <c r="B1" s="492">
        <f>YEAR(SAS_RA0_DataInicio)*100+MONTH(SAS_RA0_DataInicio)</f>
        <v>202109</v>
      </c>
      <c r="D1" s="1390" t="s">
        <v>1516</v>
      </c>
      <c r="E1" s="1390" t="s">
        <v>1517</v>
      </c>
      <c r="F1" s="1390" t="s">
        <v>1518</v>
      </c>
    </row>
    <row r="2" spans="1:138" ht="15.75">
      <c r="A2" s="1390" t="s">
        <v>1519</v>
      </c>
      <c r="B2" s="492">
        <f>YEAR(SAS_RA0_DataFim)*100+MONTH(SAS_RA0_DataFim)</f>
        <v>202208</v>
      </c>
      <c r="D2" s="1391" t="str">
        <f>UPPER(VLOOKUP(LnkTXTSigla,Informacoes[],9,FALSE))</f>
        <v>44834</v>
      </c>
      <c r="E2" s="492">
        <f>IF(_xlfn.MAXIFS(C:C,A:A,D2)&gt;B2,B2,_xlfn.MAXIFS(C:C,A:A,D2))</f>
        <v>0</v>
      </c>
      <c r="F2" s="494">
        <f>YEAR(SAS_RA0_DataFim)*100+MONTH(SAS_RA0_DataFim)-E2+1</f>
        <v>202209</v>
      </c>
    </row>
    <row r="3" spans="1:138" ht="15.75">
      <c r="A3" s="1392" t="s">
        <v>189</v>
      </c>
      <c r="B3" s="494">
        <f>YEAR(SAS_RA0_DataFim)*100+MONTH(SAS_RA0_DataFim)-MAX(C:C)+1</f>
        <v>202209</v>
      </c>
      <c r="D3" s="1391" t="str">
        <f>UPPER(VLOOKUP(LnkTXTSigla,Informacoes[],11,FALSE))</f>
        <v>CELESC</v>
      </c>
      <c r="E3" s="492">
        <f>IF(_xlfn.MAXIFS(C:C,A:A,D3)&gt;B2,B2,_xlfn.MAXIFS(C:C,A:A,D3))</f>
        <v>0</v>
      </c>
      <c r="F3" s="494">
        <f>YEAR(SAS_RA0_DataFim)*100+MONTH(SAS_RA0_DataFim)-E3+1</f>
        <v>202209</v>
      </c>
    </row>
    <row r="4" spans="1:138" ht="15.75">
      <c r="A4" s="508" t="s">
        <v>1520</v>
      </c>
      <c r="B4" s="509" t="s">
        <v>1521</v>
      </c>
    </row>
    <row r="6" spans="1:138" ht="15.75">
      <c r="A6" s="765"/>
      <c r="B6" s="766"/>
      <c r="C6" s="766"/>
      <c r="D6" s="50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3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3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3" t="s">
        <v>1522</v>
      </c>
      <c r="B1" s="1394">
        <v>0</v>
      </c>
    </row>
    <row r="2" spans="1:2">
      <c r="A2" s="1393" t="s">
        <v>1523</v>
      </c>
      <c r="B2" s="1394">
        <v>0</v>
      </c>
    </row>
    <row r="3" spans="1:2">
      <c r="A3" s="1393" t="s">
        <v>1524</v>
      </c>
      <c r="B3" s="1394">
        <v>0</v>
      </c>
    </row>
    <row r="4" spans="1:2">
      <c r="A4" s="1393" t="s">
        <v>1525</v>
      </c>
      <c r="B4" s="1394">
        <v>0</v>
      </c>
    </row>
    <row r="5" spans="1:2">
      <c r="A5" s="1393" t="s">
        <v>1526</v>
      </c>
      <c r="B5" s="1394">
        <v>0</v>
      </c>
    </row>
    <row r="6" spans="1:2">
      <c r="A6" s="1393" t="s">
        <v>1527</v>
      </c>
      <c r="B6" s="1394">
        <v>0</v>
      </c>
    </row>
    <row r="7" spans="1:2">
      <c r="A7" s="1393" t="s">
        <v>1528</v>
      </c>
      <c r="B7" s="1394">
        <v>0</v>
      </c>
    </row>
    <row r="8" spans="1:2">
      <c r="A8" s="1393" t="s">
        <v>1529</v>
      </c>
      <c r="B8" s="1394">
        <v>0</v>
      </c>
    </row>
    <row r="9" spans="1:2">
      <c r="A9" s="1393" t="s">
        <v>1530</v>
      </c>
      <c r="B9" s="1394">
        <v>0.45</v>
      </c>
    </row>
    <row r="10" spans="1:2">
      <c r="A10" s="1393" t="s">
        <v>1531</v>
      </c>
      <c r="B10" s="1394">
        <v>0.4</v>
      </c>
    </row>
    <row r="11" spans="1:2">
      <c r="A11" s="1393" t="s">
        <v>1532</v>
      </c>
      <c r="B11" s="1393">
        <v>0.65</v>
      </c>
    </row>
    <row r="12" spans="1:2">
      <c r="A12" s="1393" t="s">
        <v>1533</v>
      </c>
      <c r="B12" s="1393">
        <v>0.4</v>
      </c>
    </row>
    <row r="13" spans="1:2">
      <c r="A13" s="1393" t="s">
        <v>1534</v>
      </c>
      <c r="B13" s="1393">
        <v>0.1</v>
      </c>
    </row>
    <row r="14" spans="1:2">
      <c r="A14" s="1393" t="s">
        <v>1535</v>
      </c>
      <c r="B14" s="1393">
        <v>0</v>
      </c>
    </row>
    <row r="15" spans="1:2">
      <c r="A15" s="1393" t="s">
        <v>1536</v>
      </c>
      <c r="B15" s="1393">
        <v>0.3</v>
      </c>
    </row>
    <row r="16" spans="1:2">
      <c r="A16" s="1393" t="s">
        <v>1537</v>
      </c>
      <c r="B16" s="1393">
        <v>0.3</v>
      </c>
    </row>
    <row r="17" spans="1:13">
      <c r="A17" s="1393" t="s">
        <v>1538</v>
      </c>
      <c r="B17" s="1393">
        <v>0.4</v>
      </c>
    </row>
    <row r="20" spans="1:13" ht="15">
      <c r="D20" s="1395" t="s">
        <v>1377</v>
      </c>
      <c r="E20" s="1395" t="s">
        <v>960</v>
      </c>
      <c r="F20" s="1395" t="s">
        <v>1539</v>
      </c>
      <c r="G20" s="1395" t="s">
        <v>1540</v>
      </c>
      <c r="H20" s="1395" t="s">
        <v>1541</v>
      </c>
      <c r="I20" s="1395" t="s">
        <v>1542</v>
      </c>
      <c r="J20" s="1395" t="s">
        <v>1543</v>
      </c>
      <c r="K20" s="1395" t="s">
        <v>1544</v>
      </c>
      <c r="L20" s="1395" t="s">
        <v>1545</v>
      </c>
      <c r="M20" s="1395" t="s">
        <v>1044</v>
      </c>
    </row>
    <row r="21" spans="1:13" ht="30" hidden="1">
      <c r="D21" s="1396">
        <v>26</v>
      </c>
      <c r="E21" s="1397" t="s">
        <v>1546</v>
      </c>
      <c r="F21" s="1397" t="s">
        <v>113</v>
      </c>
      <c r="G21" s="1398">
        <v>41243</v>
      </c>
      <c r="H21" s="1399">
        <v>41243</v>
      </c>
      <c r="I21" s="1397" t="s">
        <v>963</v>
      </c>
      <c r="J21" s="1397" t="s">
        <v>114</v>
      </c>
      <c r="K21" s="1396">
        <v>1663</v>
      </c>
      <c r="L21" s="1397" t="s">
        <v>1547</v>
      </c>
      <c r="M21" s="1397" t="s">
        <v>1548</v>
      </c>
    </row>
    <row r="22" spans="1:13" ht="30" hidden="1">
      <c r="D22" s="1396">
        <v>28</v>
      </c>
      <c r="E22" s="1397" t="s">
        <v>1549</v>
      </c>
      <c r="F22" s="1397" t="s">
        <v>1550</v>
      </c>
      <c r="G22" s="1398">
        <v>41214</v>
      </c>
      <c r="H22" s="470"/>
      <c r="I22" s="1397" t="s">
        <v>963</v>
      </c>
      <c r="J22" s="1397" t="s">
        <v>114</v>
      </c>
      <c r="K22" s="1396">
        <v>1665</v>
      </c>
      <c r="L22" s="1397" t="s">
        <v>114</v>
      </c>
      <c r="M22" s="1397" t="s">
        <v>1548</v>
      </c>
    </row>
    <row r="23" spans="1:13" ht="30" hidden="1">
      <c r="D23" s="1396">
        <v>31</v>
      </c>
      <c r="E23" s="1397" t="s">
        <v>1551</v>
      </c>
      <c r="F23" s="1397" t="s">
        <v>115</v>
      </c>
      <c r="G23" s="1398">
        <v>41243</v>
      </c>
      <c r="H23" s="470"/>
      <c r="I23" s="1397" t="s">
        <v>963</v>
      </c>
      <c r="J23" s="1397" t="s">
        <v>114</v>
      </c>
      <c r="K23" s="1396">
        <v>1666</v>
      </c>
      <c r="L23" s="1397" t="s">
        <v>114</v>
      </c>
      <c r="M23" s="1397" t="s">
        <v>1548</v>
      </c>
    </row>
    <row r="24" spans="1:13" ht="30" hidden="1">
      <c r="D24" s="1396">
        <v>32</v>
      </c>
      <c r="E24" s="1397" t="s">
        <v>1552</v>
      </c>
      <c r="F24" s="1397" t="s">
        <v>116</v>
      </c>
      <c r="G24" s="1398">
        <v>41094</v>
      </c>
      <c r="H24" s="470"/>
      <c r="I24" s="1397" t="s">
        <v>963</v>
      </c>
      <c r="J24" s="1397" t="s">
        <v>114</v>
      </c>
      <c r="K24" s="1396">
        <v>1668</v>
      </c>
      <c r="L24" s="1397" t="s">
        <v>1553</v>
      </c>
      <c r="M24" s="1397" t="s">
        <v>1548</v>
      </c>
    </row>
    <row r="25" spans="1:13" ht="30" hidden="1">
      <c r="D25" s="1396">
        <v>37</v>
      </c>
      <c r="E25" s="1397" t="s">
        <v>1554</v>
      </c>
      <c r="F25" s="1397" t="s">
        <v>117</v>
      </c>
      <c r="G25" s="1398">
        <v>41149</v>
      </c>
      <c r="H25" s="470"/>
      <c r="I25" s="1397" t="s">
        <v>963</v>
      </c>
      <c r="J25" s="1397" t="s">
        <v>114</v>
      </c>
      <c r="K25" s="1396">
        <v>1669</v>
      </c>
      <c r="L25" s="1397" t="s">
        <v>1555</v>
      </c>
      <c r="M25" s="1397" t="s">
        <v>1548</v>
      </c>
    </row>
    <row r="26" spans="1:13" ht="30" hidden="1">
      <c r="D26" s="1396">
        <v>38</v>
      </c>
      <c r="E26" s="1397" t="s">
        <v>1556</v>
      </c>
      <c r="F26" s="1397" t="s">
        <v>118</v>
      </c>
      <c r="G26" s="1398">
        <v>41180</v>
      </c>
      <c r="H26" s="1399">
        <v>41149</v>
      </c>
      <c r="I26" s="1397" t="s">
        <v>963</v>
      </c>
      <c r="J26" s="1397" t="s">
        <v>114</v>
      </c>
      <c r="K26" s="1396">
        <v>1670</v>
      </c>
      <c r="L26" s="1397" t="s">
        <v>1557</v>
      </c>
      <c r="M26" s="1397" t="s">
        <v>1548</v>
      </c>
    </row>
    <row r="27" spans="1:13" ht="30" hidden="1">
      <c r="D27" s="1396">
        <v>39</v>
      </c>
      <c r="E27" s="1397" t="s">
        <v>1558</v>
      </c>
      <c r="F27" s="1397" t="s">
        <v>1559</v>
      </c>
      <c r="G27" s="1398">
        <v>41021</v>
      </c>
      <c r="H27" s="470"/>
      <c r="I27" s="1397" t="s">
        <v>963</v>
      </c>
      <c r="J27" s="1397" t="s">
        <v>114</v>
      </c>
      <c r="K27" s="1396">
        <v>1671</v>
      </c>
      <c r="L27" s="1397" t="s">
        <v>1560</v>
      </c>
      <c r="M27" s="1397" t="s">
        <v>1548</v>
      </c>
    </row>
    <row r="28" spans="1:13" ht="30" hidden="1">
      <c r="D28" s="1396">
        <v>40</v>
      </c>
      <c r="E28" s="1397" t="s">
        <v>1561</v>
      </c>
      <c r="F28" s="1397" t="s">
        <v>119</v>
      </c>
      <c r="G28" s="1398">
        <v>41021</v>
      </c>
      <c r="H28" s="470"/>
      <c r="I28" s="1397" t="s">
        <v>963</v>
      </c>
      <c r="J28" s="1397" t="s">
        <v>114</v>
      </c>
      <c r="K28" s="1396">
        <v>1672</v>
      </c>
      <c r="L28" s="1397" t="s">
        <v>1562</v>
      </c>
      <c r="M28" s="1397" t="s">
        <v>1548</v>
      </c>
    </row>
    <row r="29" spans="1:13" ht="30" hidden="1">
      <c r="D29" s="1396">
        <v>43</v>
      </c>
      <c r="E29" s="1397" t="s">
        <v>1563</v>
      </c>
      <c r="F29" s="1397" t="s">
        <v>120</v>
      </c>
      <c r="G29" s="1398">
        <v>41028</v>
      </c>
      <c r="H29" s="470"/>
      <c r="I29" s="1397" t="s">
        <v>963</v>
      </c>
      <c r="J29" s="1397" t="s">
        <v>114</v>
      </c>
      <c r="K29" s="1396">
        <v>1674</v>
      </c>
      <c r="L29" s="1397" t="s">
        <v>1564</v>
      </c>
      <c r="M29" s="1397" t="s">
        <v>1548</v>
      </c>
    </row>
    <row r="30" spans="1:13" ht="30" hidden="1">
      <c r="D30" s="1396">
        <v>44</v>
      </c>
      <c r="E30" s="1397" t="s">
        <v>1565</v>
      </c>
      <c r="F30" s="1397" t="s">
        <v>121</v>
      </c>
      <c r="G30" s="1398">
        <v>41180</v>
      </c>
      <c r="H30" s="470"/>
      <c r="I30" s="1397" t="s">
        <v>963</v>
      </c>
      <c r="J30" s="1397" t="s">
        <v>114</v>
      </c>
      <c r="K30" s="1396">
        <v>1675</v>
      </c>
      <c r="L30" s="1397" t="s">
        <v>1566</v>
      </c>
      <c r="M30" s="1397" t="s">
        <v>1548</v>
      </c>
    </row>
    <row r="31" spans="1:13" ht="30" hidden="1">
      <c r="D31" s="1396">
        <v>46</v>
      </c>
      <c r="E31" s="1397" t="s">
        <v>1567</v>
      </c>
      <c r="F31" s="1397" t="s">
        <v>122</v>
      </c>
      <c r="G31" s="1398">
        <v>41051</v>
      </c>
      <c r="H31" s="1399">
        <v>41257</v>
      </c>
      <c r="I31" s="1397" t="s">
        <v>963</v>
      </c>
      <c r="J31" s="1397" t="s">
        <v>1568</v>
      </c>
      <c r="K31" s="1396">
        <v>1676</v>
      </c>
      <c r="L31" s="1397" t="s">
        <v>1569</v>
      </c>
      <c r="M31" s="1397" t="s">
        <v>1548</v>
      </c>
    </row>
    <row r="32" spans="1:13" ht="30" hidden="1">
      <c r="D32" s="1396">
        <v>47</v>
      </c>
      <c r="E32" s="1397" t="s">
        <v>1570</v>
      </c>
      <c r="F32" s="1397" t="s">
        <v>123</v>
      </c>
      <c r="G32" s="1398">
        <v>41021</v>
      </c>
      <c r="H32" s="470"/>
      <c r="I32" s="1397" t="s">
        <v>963</v>
      </c>
      <c r="J32" s="1397" t="s">
        <v>114</v>
      </c>
      <c r="K32" s="1396">
        <v>1677</v>
      </c>
      <c r="L32" s="1397" t="s">
        <v>1571</v>
      </c>
      <c r="M32" s="1397" t="s">
        <v>1548</v>
      </c>
    </row>
    <row r="33" spans="4:13" ht="15" hidden="1">
      <c r="D33" s="1396">
        <v>51</v>
      </c>
      <c r="E33" s="1397" t="s">
        <v>1572</v>
      </c>
      <c r="F33" s="1397" t="s">
        <v>124</v>
      </c>
      <c r="G33" s="1398">
        <v>41235</v>
      </c>
      <c r="H33" s="1399">
        <v>41210</v>
      </c>
      <c r="I33" s="1397" t="s">
        <v>963</v>
      </c>
      <c r="J33" s="1397" t="s">
        <v>1568</v>
      </c>
      <c r="K33" s="1396">
        <v>1682</v>
      </c>
      <c r="L33" s="1397" t="s">
        <v>1573</v>
      </c>
      <c r="M33" s="1397" t="s">
        <v>1548</v>
      </c>
    </row>
    <row r="34" spans="4:13" ht="15" hidden="1">
      <c r="D34" s="1396">
        <v>56</v>
      </c>
      <c r="E34" s="1397" t="s">
        <v>1574</v>
      </c>
      <c r="F34" s="1397" t="s">
        <v>1575</v>
      </c>
      <c r="G34" s="470"/>
      <c r="H34" s="470"/>
      <c r="I34" s="1397" t="s">
        <v>963</v>
      </c>
      <c r="J34" s="1397" t="s">
        <v>114</v>
      </c>
      <c r="K34" s="1396">
        <v>1683</v>
      </c>
      <c r="L34" s="1397" t="s">
        <v>114</v>
      </c>
      <c r="M34" s="1397" t="s">
        <v>1548</v>
      </c>
    </row>
    <row r="35" spans="4:13" ht="30" hidden="1">
      <c r="D35" s="1396">
        <v>63</v>
      </c>
      <c r="E35" s="1397" t="s">
        <v>1576</v>
      </c>
      <c r="F35" s="1397" t="s">
        <v>125</v>
      </c>
      <c r="G35" s="1398">
        <v>41007</v>
      </c>
      <c r="H35" s="470"/>
      <c r="I35" s="1397" t="s">
        <v>963</v>
      </c>
      <c r="J35" s="1397" t="s">
        <v>114</v>
      </c>
      <c r="K35" s="1396">
        <v>1688</v>
      </c>
      <c r="L35" s="1397" t="s">
        <v>1577</v>
      </c>
      <c r="M35" s="1397" t="s">
        <v>1548</v>
      </c>
    </row>
    <row r="36" spans="4:13" ht="30" hidden="1">
      <c r="D36" s="1396">
        <v>69</v>
      </c>
      <c r="E36" s="1397" t="s">
        <v>1578</v>
      </c>
      <c r="F36" s="1397" t="s">
        <v>1579</v>
      </c>
      <c r="G36" s="1398">
        <v>40990</v>
      </c>
      <c r="H36" s="1399">
        <v>42038</v>
      </c>
      <c r="I36" s="1397" t="s">
        <v>963</v>
      </c>
      <c r="J36" s="1397" t="s">
        <v>114</v>
      </c>
      <c r="K36" s="1396">
        <v>1692</v>
      </c>
      <c r="L36" s="1397" t="s">
        <v>1580</v>
      </c>
      <c r="M36" s="1397" t="s">
        <v>1548</v>
      </c>
    </row>
    <row r="37" spans="4:13" ht="30" hidden="1">
      <c r="D37" s="1396">
        <v>70</v>
      </c>
      <c r="E37" s="1397" t="s">
        <v>1581</v>
      </c>
      <c r="F37" s="1397" t="s">
        <v>1582</v>
      </c>
      <c r="G37" s="1398">
        <v>40990</v>
      </c>
      <c r="H37" s="1399">
        <v>42038</v>
      </c>
      <c r="I37" s="1397" t="s">
        <v>963</v>
      </c>
      <c r="J37" s="1397" t="s">
        <v>114</v>
      </c>
      <c r="K37" s="1396">
        <v>1693</v>
      </c>
      <c r="L37" s="1397" t="s">
        <v>1583</v>
      </c>
      <c r="M37" s="1397" t="s">
        <v>1548</v>
      </c>
    </row>
    <row r="38" spans="4:13" ht="30" hidden="1">
      <c r="D38" s="1396">
        <v>71</v>
      </c>
      <c r="E38" s="1397" t="s">
        <v>1584</v>
      </c>
      <c r="F38" s="1397" t="s">
        <v>1585</v>
      </c>
      <c r="G38" s="1398">
        <v>40990</v>
      </c>
      <c r="H38" s="1399">
        <v>42038</v>
      </c>
      <c r="I38" s="1397" t="s">
        <v>963</v>
      </c>
      <c r="J38" s="1397" t="s">
        <v>114</v>
      </c>
      <c r="K38" s="1396">
        <v>1694</v>
      </c>
      <c r="L38" s="1397" t="s">
        <v>1586</v>
      </c>
      <c r="M38" s="1397" t="s">
        <v>1548</v>
      </c>
    </row>
    <row r="39" spans="4:13" ht="30" hidden="1">
      <c r="D39" s="1396">
        <v>72</v>
      </c>
      <c r="E39" s="1397" t="s">
        <v>1587</v>
      </c>
      <c r="F39" s="1397" t="s">
        <v>166</v>
      </c>
      <c r="G39" s="1398">
        <v>40990</v>
      </c>
      <c r="H39" s="1399">
        <v>42038</v>
      </c>
      <c r="I39" s="1397" t="s">
        <v>963</v>
      </c>
      <c r="J39" s="1397" t="s">
        <v>114</v>
      </c>
      <c r="K39" s="1396">
        <v>1695</v>
      </c>
      <c r="L39" s="1397" t="s">
        <v>1588</v>
      </c>
      <c r="M39" s="1397" t="s">
        <v>1548</v>
      </c>
    </row>
    <row r="40" spans="4:13" ht="30" hidden="1">
      <c r="D40" s="1396">
        <v>73</v>
      </c>
      <c r="E40" s="1397" t="s">
        <v>1589</v>
      </c>
      <c r="F40" s="1397" t="s">
        <v>1590</v>
      </c>
      <c r="G40" s="1398">
        <v>40990</v>
      </c>
      <c r="H40" s="1399">
        <v>42038</v>
      </c>
      <c r="I40" s="1397" t="s">
        <v>963</v>
      </c>
      <c r="J40" s="1397" t="s">
        <v>1568</v>
      </c>
      <c r="K40" s="1396">
        <v>1696</v>
      </c>
      <c r="L40" s="1397" t="s">
        <v>1591</v>
      </c>
      <c r="M40" s="1397" t="s">
        <v>1548</v>
      </c>
    </row>
    <row r="41" spans="4:13" ht="30" hidden="1">
      <c r="D41" s="1396">
        <v>75</v>
      </c>
      <c r="E41" s="1397" t="s">
        <v>1592</v>
      </c>
      <c r="F41" s="1397" t="s">
        <v>1593</v>
      </c>
      <c r="G41" s="1398">
        <v>41039</v>
      </c>
      <c r="H41" s="470"/>
      <c r="I41" s="1397" t="s">
        <v>963</v>
      </c>
      <c r="J41" s="1397" t="s">
        <v>114</v>
      </c>
      <c r="K41" s="1396">
        <v>1697</v>
      </c>
      <c r="L41" s="1397" t="s">
        <v>1594</v>
      </c>
      <c r="M41" s="1397" t="s">
        <v>1548</v>
      </c>
    </row>
    <row r="42" spans="4:13" ht="30" hidden="1">
      <c r="D42" s="1396">
        <v>82</v>
      </c>
      <c r="E42" s="1397" t="s">
        <v>1595</v>
      </c>
      <c r="F42" s="1397" t="s">
        <v>126</v>
      </c>
      <c r="G42" s="1398">
        <v>41089</v>
      </c>
      <c r="H42" s="1399">
        <v>41084</v>
      </c>
      <c r="I42" s="1397" t="s">
        <v>963</v>
      </c>
      <c r="J42" s="1397" t="s">
        <v>1568</v>
      </c>
      <c r="K42" s="1396">
        <v>1701</v>
      </c>
      <c r="L42" s="1397" t="s">
        <v>1596</v>
      </c>
      <c r="M42" s="1397" t="s">
        <v>1548</v>
      </c>
    </row>
    <row r="43" spans="4:13" ht="30" hidden="1">
      <c r="D43" s="1396">
        <v>83</v>
      </c>
      <c r="E43" s="1397" t="s">
        <v>1597</v>
      </c>
      <c r="F43" s="1397" t="s">
        <v>168</v>
      </c>
      <c r="G43" s="1398">
        <v>41147</v>
      </c>
      <c r="H43" s="470"/>
      <c r="I43" s="1397" t="s">
        <v>963</v>
      </c>
      <c r="J43" s="1397" t="s">
        <v>1568</v>
      </c>
      <c r="K43" s="1396">
        <v>1702</v>
      </c>
      <c r="L43" s="1397" t="s">
        <v>1598</v>
      </c>
      <c r="M43" s="1397" t="s">
        <v>1548</v>
      </c>
    </row>
    <row r="44" spans="4:13" ht="30" hidden="1">
      <c r="D44" s="1396">
        <v>84</v>
      </c>
      <c r="E44" s="1397" t="s">
        <v>1599</v>
      </c>
      <c r="F44" s="1397" t="s">
        <v>1600</v>
      </c>
      <c r="G44" s="1398">
        <v>41089</v>
      </c>
      <c r="H44" s="470"/>
      <c r="I44" s="1397" t="s">
        <v>963</v>
      </c>
      <c r="J44" s="1397" t="s">
        <v>1568</v>
      </c>
      <c r="K44" s="1396">
        <v>1703</v>
      </c>
      <c r="L44" s="1397" t="s">
        <v>1601</v>
      </c>
      <c r="M44" s="1397" t="s">
        <v>1548</v>
      </c>
    </row>
    <row r="45" spans="4:13" ht="30" hidden="1">
      <c r="D45" s="1396">
        <v>86</v>
      </c>
      <c r="E45" s="1397" t="s">
        <v>1602</v>
      </c>
      <c r="F45" s="1397" t="s">
        <v>127</v>
      </c>
      <c r="G45" s="1398">
        <v>41150</v>
      </c>
      <c r="H45" s="1399">
        <v>41865</v>
      </c>
      <c r="I45" s="1397" t="s">
        <v>963</v>
      </c>
      <c r="J45" s="1397" t="s">
        <v>1568</v>
      </c>
      <c r="K45" s="1396">
        <v>1704</v>
      </c>
      <c r="L45" s="1397" t="s">
        <v>1603</v>
      </c>
      <c r="M45" s="1397" t="s">
        <v>1548</v>
      </c>
    </row>
    <row r="46" spans="4:13" ht="30" hidden="1">
      <c r="D46" s="1396">
        <v>87</v>
      </c>
      <c r="E46" s="1397" t="s">
        <v>1604</v>
      </c>
      <c r="F46" s="1397" t="s">
        <v>128</v>
      </c>
      <c r="G46" s="1398">
        <v>41150</v>
      </c>
      <c r="H46" s="1399">
        <v>41128</v>
      </c>
      <c r="I46" s="1397" t="s">
        <v>963</v>
      </c>
      <c r="J46" s="1397" t="s">
        <v>1568</v>
      </c>
      <c r="K46" s="1396">
        <v>1705</v>
      </c>
      <c r="L46" s="1397" t="s">
        <v>1605</v>
      </c>
      <c r="M46" s="1397" t="s">
        <v>1548</v>
      </c>
    </row>
    <row r="47" spans="4:13" ht="30" hidden="1">
      <c r="D47" s="1396">
        <v>88</v>
      </c>
      <c r="E47" s="1397" t="s">
        <v>1606</v>
      </c>
      <c r="F47" s="1397" t="s">
        <v>1607</v>
      </c>
      <c r="G47" s="1398">
        <v>41150</v>
      </c>
      <c r="H47" s="1399">
        <v>41865</v>
      </c>
      <c r="I47" s="1397" t="s">
        <v>963</v>
      </c>
      <c r="J47" s="1397" t="s">
        <v>1568</v>
      </c>
      <c r="K47" s="1396">
        <v>1706</v>
      </c>
      <c r="L47" s="1397" t="s">
        <v>1608</v>
      </c>
      <c r="M47" s="1397" t="s">
        <v>1548</v>
      </c>
    </row>
    <row r="48" spans="4:13" ht="15" hidden="1">
      <c r="D48" s="1396">
        <v>95</v>
      </c>
      <c r="E48" s="1397" t="s">
        <v>1609</v>
      </c>
      <c r="F48" s="1397" t="s">
        <v>129</v>
      </c>
      <c r="G48" s="1398">
        <v>41112</v>
      </c>
      <c r="H48" s="1399">
        <v>41089</v>
      </c>
      <c r="I48" s="1397" t="s">
        <v>963</v>
      </c>
      <c r="J48" s="1397" t="s">
        <v>1568</v>
      </c>
      <c r="K48" s="1396">
        <v>1708</v>
      </c>
      <c r="L48" s="1397" t="s">
        <v>1610</v>
      </c>
      <c r="M48" s="1397" t="s">
        <v>1548</v>
      </c>
    </row>
    <row r="49" spans="4:13" ht="30" hidden="1">
      <c r="D49" s="1396">
        <v>103</v>
      </c>
      <c r="E49" s="1397" t="s">
        <v>1611</v>
      </c>
      <c r="F49" s="1397" t="s">
        <v>130</v>
      </c>
      <c r="G49" s="1398">
        <v>41235</v>
      </c>
      <c r="H49" s="1399">
        <v>41164</v>
      </c>
      <c r="I49" s="1397" t="s">
        <v>963</v>
      </c>
      <c r="J49" s="1397" t="s">
        <v>1568</v>
      </c>
      <c r="K49" s="1396">
        <v>1710</v>
      </c>
      <c r="L49" s="1397" t="s">
        <v>1612</v>
      </c>
      <c r="M49" s="1397" t="s">
        <v>1548</v>
      </c>
    </row>
    <row r="50" spans="4:13" ht="30">
      <c r="D50" s="1396">
        <v>213</v>
      </c>
      <c r="E50" s="1397" t="s">
        <v>1613</v>
      </c>
      <c r="F50" s="1397" t="s">
        <v>1614</v>
      </c>
      <c r="G50" s="470"/>
      <c r="H50" s="470"/>
      <c r="I50" s="1397" t="s">
        <v>963</v>
      </c>
      <c r="J50" s="1397" t="s">
        <v>114</v>
      </c>
      <c r="K50" s="1396">
        <v>1757</v>
      </c>
      <c r="L50" s="1397" t="s">
        <v>114</v>
      </c>
      <c r="M50" s="1397" t="s">
        <v>1174</v>
      </c>
    </row>
    <row r="51" spans="4:13" ht="30" hidden="1">
      <c r="D51" s="1396">
        <v>369</v>
      </c>
      <c r="E51" s="1397" t="s">
        <v>1615</v>
      </c>
      <c r="F51" s="1397" t="s">
        <v>131</v>
      </c>
      <c r="G51" s="1398">
        <v>41243</v>
      </c>
      <c r="H51" s="1399">
        <v>41243</v>
      </c>
      <c r="I51" s="1397" t="s">
        <v>963</v>
      </c>
      <c r="J51" s="1397" t="s">
        <v>114</v>
      </c>
      <c r="K51" s="1396">
        <v>1770</v>
      </c>
      <c r="L51" s="1397" t="s">
        <v>1616</v>
      </c>
      <c r="M51" s="1397" t="s">
        <v>1548</v>
      </c>
    </row>
    <row r="52" spans="4:13" ht="15" hidden="1">
      <c r="D52" s="1396">
        <v>370</v>
      </c>
      <c r="E52" s="1397" t="s">
        <v>1617</v>
      </c>
      <c r="F52" s="1397" t="s">
        <v>1618</v>
      </c>
      <c r="G52" s="1398">
        <v>41214</v>
      </c>
      <c r="H52" s="1399">
        <v>41214</v>
      </c>
      <c r="I52" s="1397" t="s">
        <v>963</v>
      </c>
      <c r="J52" s="1397" t="s">
        <v>114</v>
      </c>
      <c r="K52" s="1396">
        <v>1771</v>
      </c>
      <c r="L52" s="1397" t="s">
        <v>1619</v>
      </c>
      <c r="M52" s="1397" t="s">
        <v>1548</v>
      </c>
    </row>
    <row r="53" spans="4:13" ht="30" hidden="1">
      <c r="D53" s="1396">
        <v>371</v>
      </c>
      <c r="E53" s="1397" t="s">
        <v>1620</v>
      </c>
      <c r="F53" s="1397" t="s">
        <v>132</v>
      </c>
      <c r="G53" s="1398">
        <v>40762</v>
      </c>
      <c r="H53" s="470"/>
      <c r="I53" s="1397" t="s">
        <v>963</v>
      </c>
      <c r="J53" s="1397" t="s">
        <v>114</v>
      </c>
      <c r="K53" s="1396">
        <v>1772</v>
      </c>
      <c r="L53" s="1397" t="s">
        <v>1621</v>
      </c>
      <c r="M53" s="1397" t="s">
        <v>1548</v>
      </c>
    </row>
    <row r="54" spans="4:13" ht="30" hidden="1">
      <c r="D54" s="1396">
        <v>380</v>
      </c>
      <c r="E54" s="1397" t="s">
        <v>1622</v>
      </c>
      <c r="F54" s="1397" t="s">
        <v>1623</v>
      </c>
      <c r="G54" s="1398">
        <v>41128</v>
      </c>
      <c r="H54" s="470"/>
      <c r="I54" s="1397" t="s">
        <v>963</v>
      </c>
      <c r="J54" s="1397" t="s">
        <v>114</v>
      </c>
      <c r="K54" s="1396">
        <v>1777</v>
      </c>
      <c r="L54" s="1397" t="s">
        <v>1624</v>
      </c>
      <c r="M54" s="1397" t="s">
        <v>1548</v>
      </c>
    </row>
    <row r="55" spans="4:13" ht="30" hidden="1">
      <c r="D55" s="1396">
        <v>381</v>
      </c>
      <c r="E55" s="1397" t="s">
        <v>1625</v>
      </c>
      <c r="F55" s="1397" t="s">
        <v>133</v>
      </c>
      <c r="G55" s="1398">
        <v>41143</v>
      </c>
      <c r="H55" s="1399">
        <v>41136</v>
      </c>
      <c r="I55" s="1397" t="s">
        <v>963</v>
      </c>
      <c r="J55" s="1397" t="s">
        <v>114</v>
      </c>
      <c r="K55" s="1396">
        <v>1778</v>
      </c>
      <c r="L55" s="1397" t="s">
        <v>1626</v>
      </c>
      <c r="M55" s="1397" t="s">
        <v>1548</v>
      </c>
    </row>
    <row r="56" spans="4:13" ht="30" hidden="1">
      <c r="D56" s="1396">
        <v>382</v>
      </c>
      <c r="E56" s="1397" t="s">
        <v>1627</v>
      </c>
      <c r="F56" s="1397" t="s">
        <v>134</v>
      </c>
      <c r="G56" s="1398">
        <v>40983</v>
      </c>
      <c r="H56" s="1399">
        <v>41220</v>
      </c>
      <c r="I56" s="1397" t="s">
        <v>963</v>
      </c>
      <c r="J56" s="1397" t="s">
        <v>114</v>
      </c>
      <c r="K56" s="1396">
        <v>1779</v>
      </c>
      <c r="L56" s="1397" t="s">
        <v>1628</v>
      </c>
      <c r="M56" s="1397" t="s">
        <v>1548</v>
      </c>
    </row>
    <row r="57" spans="4:13" ht="30" hidden="1">
      <c r="D57" s="1396">
        <v>383</v>
      </c>
      <c r="E57" s="1397" t="s">
        <v>1629</v>
      </c>
      <c r="F57" s="1397" t="s">
        <v>429</v>
      </c>
      <c r="G57" s="1398">
        <v>40983</v>
      </c>
      <c r="H57" s="470"/>
      <c r="I57" s="1397" t="s">
        <v>963</v>
      </c>
      <c r="J57" s="1397" t="s">
        <v>114</v>
      </c>
      <c r="K57" s="1396">
        <v>1780</v>
      </c>
      <c r="L57" s="1397" t="s">
        <v>1630</v>
      </c>
      <c r="M57" s="1397" t="s">
        <v>1548</v>
      </c>
    </row>
    <row r="58" spans="4:13" ht="30" hidden="1">
      <c r="D58" s="1396">
        <v>385</v>
      </c>
      <c r="E58" s="1397" t="s">
        <v>1631</v>
      </c>
      <c r="F58" s="1397" t="s">
        <v>136</v>
      </c>
      <c r="G58" s="1398">
        <v>41148</v>
      </c>
      <c r="H58" s="470"/>
      <c r="I58" s="1397" t="s">
        <v>963</v>
      </c>
      <c r="J58" s="1397" t="s">
        <v>114</v>
      </c>
      <c r="K58" s="1396">
        <v>1782</v>
      </c>
      <c r="L58" s="1397" t="s">
        <v>1632</v>
      </c>
      <c r="M58" s="1397" t="s">
        <v>1548</v>
      </c>
    </row>
    <row r="59" spans="4:13" ht="30" hidden="1">
      <c r="D59" s="1396">
        <v>386</v>
      </c>
      <c r="E59" s="1397" t="s">
        <v>1633</v>
      </c>
      <c r="F59" s="1397" t="s">
        <v>1634</v>
      </c>
      <c r="G59" s="1398">
        <v>41039</v>
      </c>
      <c r="H59" s="470"/>
      <c r="I59" s="1397" t="s">
        <v>963</v>
      </c>
      <c r="J59" s="1397" t="s">
        <v>114</v>
      </c>
      <c r="K59" s="1396">
        <v>1783</v>
      </c>
      <c r="L59" s="1397" t="s">
        <v>1635</v>
      </c>
      <c r="M59" s="1397" t="s">
        <v>1548</v>
      </c>
    </row>
    <row r="60" spans="4:13" ht="45" hidden="1">
      <c r="D60" s="1396">
        <v>390</v>
      </c>
      <c r="E60" s="1397" t="s">
        <v>1636</v>
      </c>
      <c r="F60" s="1397" t="s">
        <v>250</v>
      </c>
      <c r="G60" s="1398">
        <v>41094</v>
      </c>
      <c r="H60" s="470"/>
      <c r="I60" s="1397" t="s">
        <v>963</v>
      </c>
      <c r="J60" s="1397" t="s">
        <v>114</v>
      </c>
      <c r="K60" s="1396">
        <v>1787</v>
      </c>
      <c r="L60" s="1397" t="s">
        <v>1637</v>
      </c>
      <c r="M60" s="1397" t="s">
        <v>1548</v>
      </c>
    </row>
    <row r="61" spans="4:13" ht="30" hidden="1">
      <c r="D61" s="1396">
        <v>391</v>
      </c>
      <c r="E61" s="1397" t="s">
        <v>1638</v>
      </c>
      <c r="F61" s="1397" t="s">
        <v>228</v>
      </c>
      <c r="G61" s="1398">
        <v>41205</v>
      </c>
      <c r="H61" s="470"/>
      <c r="I61" s="1397" t="s">
        <v>963</v>
      </c>
      <c r="J61" s="1397" t="s">
        <v>114</v>
      </c>
      <c r="K61" s="1396">
        <v>1788</v>
      </c>
      <c r="L61" s="1397" t="s">
        <v>1639</v>
      </c>
      <c r="M61" s="1397" t="s">
        <v>1548</v>
      </c>
    </row>
    <row r="62" spans="4:13" ht="30" hidden="1">
      <c r="D62" s="1396">
        <v>396</v>
      </c>
      <c r="E62" s="1397" t="s">
        <v>1640</v>
      </c>
      <c r="F62" s="1397" t="s">
        <v>1641</v>
      </c>
      <c r="G62" s="1398">
        <v>41018</v>
      </c>
      <c r="H62" s="470"/>
      <c r="I62" s="1397" t="s">
        <v>963</v>
      </c>
      <c r="J62" s="1397" t="s">
        <v>114</v>
      </c>
      <c r="K62" s="1396">
        <v>1792</v>
      </c>
      <c r="L62" s="1397" t="s">
        <v>1642</v>
      </c>
      <c r="M62" s="1397" t="s">
        <v>1548</v>
      </c>
    </row>
    <row r="63" spans="4:13" ht="15" hidden="1">
      <c r="D63" s="1396">
        <v>397</v>
      </c>
      <c r="E63" s="1397" t="s">
        <v>1643</v>
      </c>
      <c r="F63" s="1397" t="s">
        <v>167</v>
      </c>
      <c r="G63" s="1398">
        <v>41079</v>
      </c>
      <c r="H63" s="1399">
        <v>39922</v>
      </c>
      <c r="I63" s="1397" t="s">
        <v>963</v>
      </c>
      <c r="J63" s="1397" t="s">
        <v>114</v>
      </c>
      <c r="K63" s="1396">
        <v>1793</v>
      </c>
      <c r="L63" s="1397" t="s">
        <v>1644</v>
      </c>
      <c r="M63" s="1397" t="s">
        <v>1548</v>
      </c>
    </row>
    <row r="64" spans="4:13" ht="30" hidden="1">
      <c r="D64" s="1396">
        <v>398</v>
      </c>
      <c r="E64" s="1397" t="s">
        <v>1645</v>
      </c>
      <c r="F64" s="1397" t="s">
        <v>137</v>
      </c>
      <c r="G64" s="1398">
        <v>41112</v>
      </c>
      <c r="H64" s="1399">
        <v>41089</v>
      </c>
      <c r="I64" s="1397" t="s">
        <v>963</v>
      </c>
      <c r="J64" s="1397" t="s">
        <v>1568</v>
      </c>
      <c r="K64" s="1396">
        <v>1794</v>
      </c>
      <c r="L64" s="1397" t="s">
        <v>1646</v>
      </c>
      <c r="M64" s="1397" t="s">
        <v>1548</v>
      </c>
    </row>
    <row r="65" spans="4:13" ht="30" hidden="1">
      <c r="D65" s="1396">
        <v>399</v>
      </c>
      <c r="E65" s="1397" t="s">
        <v>1647</v>
      </c>
      <c r="F65" s="1397" t="s">
        <v>138</v>
      </c>
      <c r="G65" s="1398">
        <v>41112</v>
      </c>
      <c r="H65" s="1399">
        <v>41089</v>
      </c>
      <c r="I65" s="1397" t="s">
        <v>963</v>
      </c>
      <c r="J65" s="1397" t="s">
        <v>1568</v>
      </c>
      <c r="K65" s="1396">
        <v>1795</v>
      </c>
      <c r="L65" s="1397" t="s">
        <v>1648</v>
      </c>
      <c r="M65" s="1397" t="s">
        <v>1548</v>
      </c>
    </row>
    <row r="66" spans="4:13" ht="30" hidden="1">
      <c r="D66" s="1396">
        <v>400</v>
      </c>
      <c r="E66" s="1397" t="s">
        <v>1649</v>
      </c>
      <c r="F66" s="1397" t="s">
        <v>139</v>
      </c>
      <c r="G66" s="1398">
        <v>41051</v>
      </c>
      <c r="H66" s="1399">
        <v>41018</v>
      </c>
      <c r="I66" s="1397" t="s">
        <v>963</v>
      </c>
      <c r="J66" s="1397" t="s">
        <v>1568</v>
      </c>
      <c r="K66" s="1396">
        <v>1796</v>
      </c>
      <c r="L66" s="1397" t="s">
        <v>1650</v>
      </c>
      <c r="M66" s="1397" t="s">
        <v>1548</v>
      </c>
    </row>
    <row r="67" spans="4:13" ht="30" hidden="1">
      <c r="D67" s="1396">
        <v>401</v>
      </c>
      <c r="E67" s="1397" t="s">
        <v>1651</v>
      </c>
      <c r="F67" s="1397" t="s">
        <v>140</v>
      </c>
      <c r="G67" s="1398">
        <v>41112</v>
      </c>
      <c r="H67" s="1399">
        <v>41089</v>
      </c>
      <c r="I67" s="1397" t="s">
        <v>963</v>
      </c>
      <c r="J67" s="1397" t="s">
        <v>1568</v>
      </c>
      <c r="K67" s="1396">
        <v>1797</v>
      </c>
      <c r="L67" s="1397" t="s">
        <v>1652</v>
      </c>
      <c r="M67" s="1397" t="s">
        <v>1548</v>
      </c>
    </row>
    <row r="68" spans="4:13" ht="30" hidden="1">
      <c r="D68" s="1396">
        <v>404</v>
      </c>
      <c r="E68" s="1397" t="s">
        <v>1653</v>
      </c>
      <c r="F68" s="1397" t="s">
        <v>141</v>
      </c>
      <c r="G68" s="1398">
        <v>41007</v>
      </c>
      <c r="H68" s="470"/>
      <c r="I68" s="1397" t="s">
        <v>963</v>
      </c>
      <c r="J68" s="1397" t="s">
        <v>114</v>
      </c>
      <c r="K68" s="1396">
        <v>1800</v>
      </c>
      <c r="L68" s="1397" t="s">
        <v>1654</v>
      </c>
      <c r="M68" s="1397" t="s">
        <v>1548</v>
      </c>
    </row>
    <row r="69" spans="4:13" ht="30" hidden="1">
      <c r="D69" s="1396">
        <v>405</v>
      </c>
      <c r="E69" s="1397" t="s">
        <v>1655</v>
      </c>
      <c r="F69" s="1397" t="s">
        <v>142</v>
      </c>
      <c r="G69" s="1398">
        <v>41007</v>
      </c>
      <c r="H69" s="470"/>
      <c r="I69" s="1397" t="s">
        <v>963</v>
      </c>
      <c r="J69" s="1397" t="s">
        <v>114</v>
      </c>
      <c r="K69" s="1396">
        <v>1802</v>
      </c>
      <c r="L69" s="1397" t="s">
        <v>1656</v>
      </c>
      <c r="M69" s="1397" t="s">
        <v>1548</v>
      </c>
    </row>
    <row r="70" spans="4:13" ht="30">
      <c r="D70" s="1396">
        <v>598</v>
      </c>
      <c r="E70" s="1397" t="s">
        <v>1657</v>
      </c>
      <c r="F70" s="1397" t="s">
        <v>1658</v>
      </c>
      <c r="G70" s="1398">
        <v>41485</v>
      </c>
      <c r="H70" s="470"/>
      <c r="I70" s="1397" t="s">
        <v>963</v>
      </c>
      <c r="J70" s="1397" t="s">
        <v>1568</v>
      </c>
      <c r="K70" s="1396">
        <v>1855</v>
      </c>
      <c r="L70" s="1397" t="s">
        <v>1659</v>
      </c>
      <c r="M70" s="1397" t="s">
        <v>1174</v>
      </c>
    </row>
    <row r="71" spans="4:13" ht="30">
      <c r="D71" s="1396">
        <v>2351</v>
      </c>
      <c r="E71" s="1397" t="s">
        <v>1660</v>
      </c>
      <c r="F71" s="1397" t="s">
        <v>403</v>
      </c>
      <c r="G71" s="1398">
        <v>41485</v>
      </c>
      <c r="H71" s="470"/>
      <c r="I71" s="1397" t="s">
        <v>963</v>
      </c>
      <c r="J71" s="1397" t="s">
        <v>1568</v>
      </c>
      <c r="K71" s="1396">
        <v>2062</v>
      </c>
      <c r="L71" s="1397" t="s">
        <v>1661</v>
      </c>
      <c r="M71" s="1397" t="s">
        <v>1174</v>
      </c>
    </row>
    <row r="72" spans="4:13" ht="45">
      <c r="D72" s="1396">
        <v>2381</v>
      </c>
      <c r="E72" s="1397" t="s">
        <v>1662</v>
      </c>
      <c r="F72" s="1397" t="s">
        <v>375</v>
      </c>
      <c r="G72" s="1398">
        <v>41485</v>
      </c>
      <c r="H72" s="470"/>
      <c r="I72" s="1397" t="s">
        <v>963</v>
      </c>
      <c r="J72" s="1397" t="s">
        <v>1568</v>
      </c>
      <c r="K72" s="1396">
        <v>2066</v>
      </c>
      <c r="L72" s="1397" t="s">
        <v>1663</v>
      </c>
      <c r="M72" s="1397" t="s">
        <v>1174</v>
      </c>
    </row>
    <row r="73" spans="4:13" ht="30" hidden="1">
      <c r="D73" s="1396">
        <v>2513</v>
      </c>
      <c r="E73" s="1397" t="s">
        <v>1664</v>
      </c>
      <c r="F73" s="1397" t="s">
        <v>1665</v>
      </c>
      <c r="G73" s="1398">
        <v>40909</v>
      </c>
      <c r="H73" s="470"/>
      <c r="I73" s="1397" t="s">
        <v>963</v>
      </c>
      <c r="J73" s="1397" t="s">
        <v>114</v>
      </c>
      <c r="K73" s="1396">
        <v>2076</v>
      </c>
      <c r="L73" s="1397" t="s">
        <v>114</v>
      </c>
      <c r="M73" s="1397" t="s">
        <v>114</v>
      </c>
    </row>
    <row r="74" spans="4:13" ht="45">
      <c r="D74" s="1396">
        <v>2763</v>
      </c>
      <c r="E74" s="1397" t="s">
        <v>1666</v>
      </c>
      <c r="F74" s="1397" t="s">
        <v>144</v>
      </c>
      <c r="G74" s="1398">
        <v>41485</v>
      </c>
      <c r="H74" s="470"/>
      <c r="I74" s="1397" t="s">
        <v>963</v>
      </c>
      <c r="J74" s="1397" t="s">
        <v>1568</v>
      </c>
      <c r="K74" s="1396">
        <v>2111</v>
      </c>
      <c r="L74" s="1397" t="s">
        <v>1667</v>
      </c>
      <c r="M74" s="1397" t="s">
        <v>1174</v>
      </c>
    </row>
    <row r="75" spans="4:13" ht="45">
      <c r="D75" s="1396">
        <v>2783</v>
      </c>
      <c r="E75" s="1397" t="s">
        <v>1668</v>
      </c>
      <c r="F75" s="1397" t="s">
        <v>414</v>
      </c>
      <c r="G75" s="1398">
        <v>41485</v>
      </c>
      <c r="H75" s="470"/>
      <c r="I75" s="1397" t="s">
        <v>963</v>
      </c>
      <c r="J75" s="1397" t="s">
        <v>1568</v>
      </c>
      <c r="K75" s="1396">
        <v>2114</v>
      </c>
      <c r="L75" s="1397" t="s">
        <v>1669</v>
      </c>
      <c r="M75" s="1397" t="s">
        <v>1174</v>
      </c>
    </row>
    <row r="76" spans="4:13" ht="15" hidden="1">
      <c r="D76" s="1396">
        <v>2866</v>
      </c>
      <c r="E76" s="1397" t="s">
        <v>1670</v>
      </c>
      <c r="F76" s="1397" t="s">
        <v>145</v>
      </c>
      <c r="G76" s="1398">
        <v>41084</v>
      </c>
      <c r="H76" s="470"/>
      <c r="I76" s="1397" t="s">
        <v>963</v>
      </c>
      <c r="J76" s="1397" t="s">
        <v>114</v>
      </c>
      <c r="K76" s="1396">
        <v>2126</v>
      </c>
      <c r="L76" s="1397" t="s">
        <v>1671</v>
      </c>
      <c r="M76" s="1397" t="s">
        <v>1548</v>
      </c>
    </row>
    <row r="77" spans="4:13" ht="30" hidden="1">
      <c r="D77" s="1396">
        <v>2904</v>
      </c>
      <c r="E77" s="1397" t="s">
        <v>1672</v>
      </c>
      <c r="F77" s="1397" t="s">
        <v>1673</v>
      </c>
      <c r="G77" s="1398">
        <v>41150</v>
      </c>
      <c r="H77" s="1399">
        <v>41135</v>
      </c>
      <c r="I77" s="1397" t="s">
        <v>963</v>
      </c>
      <c r="J77" s="1397" t="s">
        <v>1568</v>
      </c>
      <c r="K77" s="1396">
        <v>2134</v>
      </c>
      <c r="L77" s="1397" t="s">
        <v>1674</v>
      </c>
      <c r="M77" s="1397" t="s">
        <v>1548</v>
      </c>
    </row>
    <row r="78" spans="4:13" ht="30" hidden="1">
      <c r="D78" s="1396">
        <v>2937</v>
      </c>
      <c r="E78" s="1397" t="s">
        <v>1675</v>
      </c>
      <c r="F78" s="1397" t="s">
        <v>146</v>
      </c>
      <c r="G78" s="1398">
        <v>41205</v>
      </c>
      <c r="H78" s="470"/>
      <c r="I78" s="1397" t="s">
        <v>963</v>
      </c>
      <c r="J78" s="1397" t="s">
        <v>114</v>
      </c>
      <c r="K78" s="1396">
        <v>2141</v>
      </c>
      <c r="L78" s="1397" t="s">
        <v>1676</v>
      </c>
      <c r="M78" s="1397" t="s">
        <v>1548</v>
      </c>
    </row>
    <row r="79" spans="4:13" ht="30">
      <c r="D79" s="1396">
        <v>3223</v>
      </c>
      <c r="E79" s="1397" t="s">
        <v>1677</v>
      </c>
      <c r="F79" s="1397" t="s">
        <v>387</v>
      </c>
      <c r="G79" s="1398">
        <v>41423</v>
      </c>
      <c r="H79" s="470"/>
      <c r="I79" s="1397" t="s">
        <v>963</v>
      </c>
      <c r="J79" s="1397" t="s">
        <v>1568</v>
      </c>
      <c r="K79" s="1396">
        <v>2193</v>
      </c>
      <c r="L79" s="1397" t="s">
        <v>1678</v>
      </c>
      <c r="M79" s="1397" t="s">
        <v>1174</v>
      </c>
    </row>
    <row r="80" spans="4:13" ht="45">
      <c r="D80" s="1396">
        <v>3627</v>
      </c>
      <c r="E80" s="1397" t="s">
        <v>1679</v>
      </c>
      <c r="F80" s="1397" t="s">
        <v>398</v>
      </c>
      <c r="G80" s="1398">
        <v>41485</v>
      </c>
      <c r="H80" s="470"/>
      <c r="I80" s="1397" t="s">
        <v>963</v>
      </c>
      <c r="J80" s="1397" t="s">
        <v>1568</v>
      </c>
      <c r="K80" s="1396">
        <v>2215</v>
      </c>
      <c r="L80" s="1397" t="s">
        <v>1680</v>
      </c>
      <c r="M80" s="1397" t="s">
        <v>1174</v>
      </c>
    </row>
    <row r="81" spans="4:13" ht="45">
      <c r="D81" s="1396">
        <v>4248</v>
      </c>
      <c r="E81" s="1397" t="s">
        <v>1681</v>
      </c>
      <c r="F81" s="1397" t="s">
        <v>1682</v>
      </c>
      <c r="G81" s="1398">
        <v>41485</v>
      </c>
      <c r="H81" s="470"/>
      <c r="I81" s="1397" t="s">
        <v>963</v>
      </c>
      <c r="J81" s="1397" t="s">
        <v>1568</v>
      </c>
      <c r="K81" s="1396">
        <v>2245</v>
      </c>
      <c r="L81" s="1397" t="s">
        <v>1683</v>
      </c>
      <c r="M81" s="1397" t="s">
        <v>1174</v>
      </c>
    </row>
    <row r="82" spans="4:13" ht="105" hidden="1">
      <c r="D82" s="1396">
        <v>4950</v>
      </c>
      <c r="E82" s="1397" t="s">
        <v>1684</v>
      </c>
      <c r="F82" s="1397" t="s">
        <v>147</v>
      </c>
      <c r="G82" s="1398">
        <v>41057</v>
      </c>
      <c r="H82" s="1399">
        <v>41007</v>
      </c>
      <c r="I82" s="1397" t="s">
        <v>963</v>
      </c>
      <c r="J82" s="1397" t="s">
        <v>114</v>
      </c>
      <c r="K82" s="1396">
        <v>2285</v>
      </c>
      <c r="L82" s="1397" t="s">
        <v>1685</v>
      </c>
      <c r="M82" s="1397" t="s">
        <v>1548</v>
      </c>
    </row>
    <row r="83" spans="4:13" ht="15" hidden="1">
      <c r="D83" s="1396">
        <v>5160</v>
      </c>
      <c r="E83" s="1397" t="s">
        <v>1686</v>
      </c>
      <c r="F83" s="1397" t="s">
        <v>148</v>
      </c>
      <c r="G83" s="1398">
        <v>41204</v>
      </c>
      <c r="H83" s="1399">
        <v>41147</v>
      </c>
      <c r="I83" s="1397" t="s">
        <v>963</v>
      </c>
      <c r="J83" s="1397" t="s">
        <v>114</v>
      </c>
      <c r="K83" s="1396">
        <v>2313</v>
      </c>
      <c r="L83" s="1397" t="s">
        <v>1687</v>
      </c>
      <c r="M83" s="1397" t="s">
        <v>1548</v>
      </c>
    </row>
    <row r="84" spans="4:13" ht="30" hidden="1">
      <c r="D84" s="1396">
        <v>5216</v>
      </c>
      <c r="E84" s="1397" t="s">
        <v>1688</v>
      </c>
      <c r="F84" s="1397" t="s">
        <v>1689</v>
      </c>
      <c r="G84" s="1398">
        <v>41039</v>
      </c>
      <c r="H84" s="470"/>
      <c r="I84" s="1397" t="s">
        <v>963</v>
      </c>
      <c r="J84" s="1397" t="s">
        <v>114</v>
      </c>
      <c r="K84" s="1396">
        <v>2330</v>
      </c>
      <c r="L84" s="1397" t="s">
        <v>1690</v>
      </c>
      <c r="M84" s="1397" t="s">
        <v>1548</v>
      </c>
    </row>
    <row r="85" spans="4:13" ht="30" hidden="1">
      <c r="D85" s="1396">
        <v>5217</v>
      </c>
      <c r="E85" s="1397" t="s">
        <v>1691</v>
      </c>
      <c r="F85" s="1397" t="s">
        <v>1692</v>
      </c>
      <c r="G85" s="1398">
        <v>41039</v>
      </c>
      <c r="H85" s="470"/>
      <c r="I85" s="1397" t="s">
        <v>963</v>
      </c>
      <c r="J85" s="1397" t="s">
        <v>114</v>
      </c>
      <c r="K85" s="1396">
        <v>2331</v>
      </c>
      <c r="L85" s="1397" t="s">
        <v>1693</v>
      </c>
      <c r="M85" s="1397" t="s">
        <v>1548</v>
      </c>
    </row>
    <row r="86" spans="4:13" ht="45">
      <c r="D86" s="1396">
        <v>5274</v>
      </c>
      <c r="E86" s="1397" t="s">
        <v>1694</v>
      </c>
      <c r="F86" s="1397" t="s">
        <v>149</v>
      </c>
      <c r="G86" s="1398">
        <v>41393</v>
      </c>
      <c r="H86" s="470"/>
      <c r="I86" s="1397" t="s">
        <v>963</v>
      </c>
      <c r="J86" s="1397" t="s">
        <v>1568</v>
      </c>
      <c r="K86" s="1396">
        <v>2339</v>
      </c>
      <c r="L86" s="1397" t="s">
        <v>1695</v>
      </c>
      <c r="M86" s="1397" t="s">
        <v>1174</v>
      </c>
    </row>
    <row r="87" spans="4:13" ht="45">
      <c r="D87" s="1396">
        <v>5351</v>
      </c>
      <c r="E87" s="1397" t="s">
        <v>1696</v>
      </c>
      <c r="F87" s="1397" t="s">
        <v>150</v>
      </c>
      <c r="G87" s="1398">
        <v>41212</v>
      </c>
      <c r="H87" s="470"/>
      <c r="I87" s="1397" t="s">
        <v>963</v>
      </c>
      <c r="J87" s="1397" t="s">
        <v>1568</v>
      </c>
      <c r="K87" s="1396">
        <v>2340</v>
      </c>
      <c r="L87" s="1397" t="s">
        <v>1697</v>
      </c>
      <c r="M87" s="1397" t="s">
        <v>1174</v>
      </c>
    </row>
    <row r="88" spans="4:13" ht="60">
      <c r="D88" s="1396">
        <v>5352</v>
      </c>
      <c r="E88" s="1397" t="s">
        <v>1698</v>
      </c>
      <c r="F88" s="1397" t="s">
        <v>310</v>
      </c>
      <c r="G88" s="1398">
        <v>41182</v>
      </c>
      <c r="H88" s="470"/>
      <c r="I88" s="1397" t="s">
        <v>963</v>
      </c>
      <c r="J88" s="1397" t="s">
        <v>1568</v>
      </c>
      <c r="K88" s="1396">
        <v>2341</v>
      </c>
      <c r="L88" s="1397" t="s">
        <v>1699</v>
      </c>
      <c r="M88" s="1397" t="s">
        <v>1174</v>
      </c>
    </row>
    <row r="89" spans="4:13" ht="45">
      <c r="D89" s="1396">
        <v>5353</v>
      </c>
      <c r="E89" s="1397" t="s">
        <v>1700</v>
      </c>
      <c r="F89" s="1397" t="s">
        <v>151</v>
      </c>
      <c r="G89" s="1398">
        <v>41182</v>
      </c>
      <c r="H89" s="470"/>
      <c r="I89" s="1397" t="s">
        <v>963</v>
      </c>
      <c r="J89" s="1397" t="s">
        <v>1568</v>
      </c>
      <c r="K89" s="1396">
        <v>2342</v>
      </c>
      <c r="L89" s="1397" t="s">
        <v>1701</v>
      </c>
      <c r="M89" s="1397" t="s">
        <v>1174</v>
      </c>
    </row>
    <row r="90" spans="4:13" ht="30">
      <c r="D90" s="1396">
        <v>5355</v>
      </c>
      <c r="E90" s="1397" t="s">
        <v>1702</v>
      </c>
      <c r="F90" s="1397" t="s">
        <v>321</v>
      </c>
      <c r="G90" s="1398">
        <v>41182</v>
      </c>
      <c r="H90" s="470"/>
      <c r="I90" s="1397" t="s">
        <v>963</v>
      </c>
      <c r="J90" s="1397" t="s">
        <v>1568</v>
      </c>
      <c r="K90" s="1396">
        <v>2343</v>
      </c>
      <c r="L90" s="1397" t="s">
        <v>1703</v>
      </c>
      <c r="M90" s="1397" t="s">
        <v>1174</v>
      </c>
    </row>
    <row r="91" spans="4:13" ht="30">
      <c r="D91" s="1396">
        <v>5363</v>
      </c>
      <c r="E91" s="1397" t="s">
        <v>1704</v>
      </c>
      <c r="F91" s="1397" t="s">
        <v>328</v>
      </c>
      <c r="G91" s="1398">
        <v>41182</v>
      </c>
      <c r="H91" s="470"/>
      <c r="I91" s="1397" t="s">
        <v>963</v>
      </c>
      <c r="J91" s="1397" t="s">
        <v>1568</v>
      </c>
      <c r="K91" s="1396">
        <v>2344</v>
      </c>
      <c r="L91" s="1397" t="s">
        <v>1705</v>
      </c>
      <c r="M91" s="1397" t="s">
        <v>1174</v>
      </c>
    </row>
    <row r="92" spans="4:13" ht="30">
      <c r="D92" s="1396">
        <v>5364</v>
      </c>
      <c r="E92" s="1397" t="s">
        <v>1706</v>
      </c>
      <c r="F92" s="1397" t="s">
        <v>333</v>
      </c>
      <c r="G92" s="1398">
        <v>41182</v>
      </c>
      <c r="H92" s="470"/>
      <c r="I92" s="1397" t="s">
        <v>963</v>
      </c>
      <c r="J92" s="1397" t="s">
        <v>1568</v>
      </c>
      <c r="K92" s="1396">
        <v>2345</v>
      </c>
      <c r="L92" s="1397" t="s">
        <v>1707</v>
      </c>
      <c r="M92" s="1397" t="s">
        <v>1174</v>
      </c>
    </row>
    <row r="93" spans="4:13" ht="30">
      <c r="D93" s="1396">
        <v>5365</v>
      </c>
      <c r="E93" s="1397" t="s">
        <v>1708</v>
      </c>
      <c r="F93" s="1397" t="s">
        <v>339</v>
      </c>
      <c r="G93" s="1398">
        <v>41182</v>
      </c>
      <c r="H93" s="470"/>
      <c r="I93" s="1397" t="s">
        <v>963</v>
      </c>
      <c r="J93" s="1397" t="s">
        <v>1568</v>
      </c>
      <c r="K93" s="1396">
        <v>2346</v>
      </c>
      <c r="L93" s="1397" t="s">
        <v>1709</v>
      </c>
      <c r="M93" s="1397" t="s">
        <v>1174</v>
      </c>
    </row>
    <row r="94" spans="4:13" ht="45">
      <c r="D94" s="1396">
        <v>5366</v>
      </c>
      <c r="E94" s="1397" t="s">
        <v>1710</v>
      </c>
      <c r="F94" s="1397" t="s">
        <v>153</v>
      </c>
      <c r="G94" s="1398">
        <v>41182</v>
      </c>
      <c r="H94" s="470"/>
      <c r="I94" s="1397" t="s">
        <v>963</v>
      </c>
      <c r="J94" s="1397" t="s">
        <v>1568</v>
      </c>
      <c r="K94" s="1396">
        <v>2347</v>
      </c>
      <c r="L94" s="1397" t="s">
        <v>1711</v>
      </c>
      <c r="M94" s="1397" t="s">
        <v>1174</v>
      </c>
    </row>
    <row r="95" spans="4:13" ht="30">
      <c r="D95" s="1396">
        <v>5367</v>
      </c>
      <c r="E95" s="1397" t="s">
        <v>1712</v>
      </c>
      <c r="F95" s="1397" t="s">
        <v>9</v>
      </c>
      <c r="G95" s="1398">
        <v>40899</v>
      </c>
      <c r="H95" s="470"/>
      <c r="I95" s="1397" t="s">
        <v>963</v>
      </c>
      <c r="J95" s="1397" t="s">
        <v>1568</v>
      </c>
      <c r="K95" s="1396">
        <v>2348</v>
      </c>
      <c r="L95" s="1397" t="s">
        <v>1713</v>
      </c>
      <c r="M95" s="1397" t="s">
        <v>1174</v>
      </c>
    </row>
    <row r="96" spans="4:13" ht="30">
      <c r="D96" s="1396">
        <v>5368</v>
      </c>
      <c r="E96" s="1397" t="s">
        <v>1714</v>
      </c>
      <c r="F96" s="1397" t="s">
        <v>344</v>
      </c>
      <c r="G96" s="1398">
        <v>41182</v>
      </c>
      <c r="H96" s="470"/>
      <c r="I96" s="1397" t="s">
        <v>963</v>
      </c>
      <c r="J96" s="1397" t="s">
        <v>1568</v>
      </c>
      <c r="K96" s="1396">
        <v>2349</v>
      </c>
      <c r="L96" s="1397" t="s">
        <v>1715</v>
      </c>
      <c r="M96" s="1397" t="s">
        <v>1174</v>
      </c>
    </row>
    <row r="97" spans="4:13" ht="30">
      <c r="D97" s="1396">
        <v>5369</v>
      </c>
      <c r="E97" s="1397" t="s">
        <v>1716</v>
      </c>
      <c r="F97" s="1397" t="s">
        <v>349</v>
      </c>
      <c r="G97" s="1398">
        <v>41182</v>
      </c>
      <c r="H97" s="470"/>
      <c r="I97" s="1397" t="s">
        <v>963</v>
      </c>
      <c r="J97" s="1397" t="s">
        <v>1568</v>
      </c>
      <c r="K97" s="1396">
        <v>2350</v>
      </c>
      <c r="L97" s="1397" t="s">
        <v>1717</v>
      </c>
      <c r="M97" s="1397" t="s">
        <v>1174</v>
      </c>
    </row>
    <row r="98" spans="4:13" ht="30">
      <c r="D98" s="1396">
        <v>5370</v>
      </c>
      <c r="E98" s="1397" t="s">
        <v>1718</v>
      </c>
      <c r="F98" s="1397" t="s">
        <v>154</v>
      </c>
      <c r="G98" s="1398">
        <v>41182</v>
      </c>
      <c r="H98" s="470"/>
      <c r="I98" s="1397" t="s">
        <v>963</v>
      </c>
      <c r="J98" s="1397" t="s">
        <v>1568</v>
      </c>
      <c r="K98" s="1396">
        <v>2351</v>
      </c>
      <c r="L98" s="1397" t="s">
        <v>1719</v>
      </c>
      <c r="M98" s="1397" t="s">
        <v>1174</v>
      </c>
    </row>
    <row r="99" spans="4:13" ht="30">
      <c r="D99" s="1396">
        <v>5371</v>
      </c>
      <c r="E99" s="1397" t="s">
        <v>1720</v>
      </c>
      <c r="F99" s="1397" t="s">
        <v>358</v>
      </c>
      <c r="G99" s="1398">
        <v>41182</v>
      </c>
      <c r="H99" s="470"/>
      <c r="I99" s="1397" t="s">
        <v>963</v>
      </c>
      <c r="J99" s="1397" t="s">
        <v>1568</v>
      </c>
      <c r="K99" s="1396">
        <v>2352</v>
      </c>
      <c r="L99" s="1397" t="s">
        <v>1721</v>
      </c>
      <c r="M99" s="1397" t="s">
        <v>1174</v>
      </c>
    </row>
    <row r="100" spans="4:13" ht="30">
      <c r="D100" s="1396">
        <v>5373</v>
      </c>
      <c r="E100" s="1397" t="s">
        <v>1722</v>
      </c>
      <c r="F100" s="1397" t="s">
        <v>365</v>
      </c>
      <c r="G100" s="1398">
        <v>41182</v>
      </c>
      <c r="H100" s="470"/>
      <c r="I100" s="1397" t="s">
        <v>963</v>
      </c>
      <c r="J100" s="1397" t="s">
        <v>1568</v>
      </c>
      <c r="K100" s="1396">
        <v>2353</v>
      </c>
      <c r="L100" s="1397" t="s">
        <v>1723</v>
      </c>
      <c r="M100" s="1397" t="s">
        <v>1174</v>
      </c>
    </row>
    <row r="101" spans="4:13" ht="45">
      <c r="D101" s="1396">
        <v>5377</v>
      </c>
      <c r="E101" s="1397" t="s">
        <v>1724</v>
      </c>
      <c r="F101" s="1397" t="s">
        <v>309</v>
      </c>
      <c r="G101" s="1398">
        <v>41393</v>
      </c>
      <c r="H101" s="470"/>
      <c r="I101" s="1397" t="s">
        <v>963</v>
      </c>
      <c r="J101" s="1397" t="s">
        <v>1568</v>
      </c>
      <c r="K101" s="1396">
        <v>2355</v>
      </c>
      <c r="L101" s="1397" t="s">
        <v>1725</v>
      </c>
      <c r="M101" s="1397" t="s">
        <v>1174</v>
      </c>
    </row>
    <row r="102" spans="4:13" ht="45">
      <c r="D102" s="1396">
        <v>5378</v>
      </c>
      <c r="E102" s="1397" t="s">
        <v>1726</v>
      </c>
      <c r="F102" s="1397" t="s">
        <v>241</v>
      </c>
      <c r="G102" s="1398">
        <v>41393</v>
      </c>
      <c r="H102" s="470"/>
      <c r="I102" s="1397" t="s">
        <v>963</v>
      </c>
      <c r="J102" s="1397" t="s">
        <v>1568</v>
      </c>
      <c r="K102" s="1396">
        <v>2356</v>
      </c>
      <c r="L102" s="1397" t="s">
        <v>1727</v>
      </c>
      <c r="M102" s="1397" t="s">
        <v>1174</v>
      </c>
    </row>
    <row r="103" spans="4:13" ht="45">
      <c r="D103" s="1396">
        <v>5379</v>
      </c>
      <c r="E103" s="1397" t="s">
        <v>1728</v>
      </c>
      <c r="F103" s="1397" t="s">
        <v>277</v>
      </c>
      <c r="G103" s="1398">
        <v>41212</v>
      </c>
      <c r="H103" s="470"/>
      <c r="I103" s="1397" t="s">
        <v>963</v>
      </c>
      <c r="J103" s="1397" t="s">
        <v>1568</v>
      </c>
      <c r="K103" s="1396">
        <v>2357</v>
      </c>
      <c r="L103" s="1397" t="s">
        <v>1729</v>
      </c>
      <c r="M103" s="1397" t="s">
        <v>1174</v>
      </c>
    </row>
    <row r="104" spans="4:13" ht="45">
      <c r="D104" s="1396">
        <v>5381</v>
      </c>
      <c r="E104" s="1397" t="s">
        <v>1730</v>
      </c>
      <c r="F104" s="1397" t="s">
        <v>220</v>
      </c>
      <c r="G104" s="1398">
        <v>41152</v>
      </c>
      <c r="H104" s="470"/>
      <c r="I104" s="1397" t="s">
        <v>963</v>
      </c>
      <c r="J104" s="1397" t="s">
        <v>1568</v>
      </c>
      <c r="K104" s="1396">
        <v>2358</v>
      </c>
      <c r="L104" s="1397" t="s">
        <v>1731</v>
      </c>
      <c r="M104" s="1397" t="s">
        <v>1174</v>
      </c>
    </row>
    <row r="105" spans="4:13" ht="45">
      <c r="D105" s="1396">
        <v>5382</v>
      </c>
      <c r="E105" s="1397" t="s">
        <v>1732</v>
      </c>
      <c r="F105" s="1397" t="s">
        <v>246</v>
      </c>
      <c r="G105" s="1398">
        <v>41101</v>
      </c>
      <c r="H105" s="470"/>
      <c r="I105" s="1397" t="s">
        <v>963</v>
      </c>
      <c r="J105" s="1397" t="s">
        <v>1568</v>
      </c>
      <c r="K105" s="1396">
        <v>2359</v>
      </c>
      <c r="L105" s="1397" t="s">
        <v>1733</v>
      </c>
      <c r="M105" s="1397" t="s">
        <v>1174</v>
      </c>
    </row>
    <row r="106" spans="4:13" ht="45">
      <c r="D106" s="1396">
        <v>5384</v>
      </c>
      <c r="E106" s="1397" t="s">
        <v>1734</v>
      </c>
      <c r="F106" s="1397" t="s">
        <v>266</v>
      </c>
      <c r="G106" s="1398">
        <v>41423</v>
      </c>
      <c r="H106" s="470"/>
      <c r="I106" s="1397" t="s">
        <v>963</v>
      </c>
      <c r="J106" s="1397" t="s">
        <v>1568</v>
      </c>
      <c r="K106" s="1396">
        <v>2360</v>
      </c>
      <c r="L106" s="1397" t="s">
        <v>1735</v>
      </c>
      <c r="M106" s="1397" t="s">
        <v>1174</v>
      </c>
    </row>
    <row r="107" spans="4:13" ht="45">
      <c r="D107" s="1396">
        <v>5385</v>
      </c>
      <c r="E107" s="1397" t="s">
        <v>1736</v>
      </c>
      <c r="F107" s="1397" t="s">
        <v>271</v>
      </c>
      <c r="G107" s="1398">
        <v>41379</v>
      </c>
      <c r="H107" s="470"/>
      <c r="I107" s="1397" t="s">
        <v>963</v>
      </c>
      <c r="J107" s="1397" t="s">
        <v>1568</v>
      </c>
      <c r="K107" s="1396">
        <v>2361</v>
      </c>
      <c r="L107" s="1397" t="s">
        <v>1737</v>
      </c>
      <c r="M107" s="1397" t="s">
        <v>1174</v>
      </c>
    </row>
    <row r="108" spans="4:13" ht="45">
      <c r="D108" s="1396">
        <v>5386</v>
      </c>
      <c r="E108" s="1397" t="s">
        <v>1738</v>
      </c>
      <c r="F108" s="1397" t="s">
        <v>236</v>
      </c>
      <c r="G108" s="1398">
        <v>41212</v>
      </c>
      <c r="H108" s="470"/>
      <c r="I108" s="1397" t="s">
        <v>963</v>
      </c>
      <c r="J108" s="1397" t="s">
        <v>1568</v>
      </c>
      <c r="K108" s="1396">
        <v>2362</v>
      </c>
      <c r="L108" s="1397" t="s">
        <v>1739</v>
      </c>
      <c r="M108" s="1397" t="s">
        <v>1174</v>
      </c>
    </row>
    <row r="109" spans="4:13" ht="15" hidden="1">
      <c r="D109" s="1396">
        <v>5697</v>
      </c>
      <c r="E109" s="1397" t="s">
        <v>1740</v>
      </c>
      <c r="F109" s="1397" t="s">
        <v>156</v>
      </c>
      <c r="G109" s="1398">
        <v>41143</v>
      </c>
      <c r="H109" s="1399">
        <v>41128</v>
      </c>
      <c r="I109" s="1397" t="s">
        <v>963</v>
      </c>
      <c r="J109" s="1397" t="s">
        <v>114</v>
      </c>
      <c r="K109" s="1396">
        <v>2382</v>
      </c>
      <c r="L109" s="1397" t="s">
        <v>1741</v>
      </c>
      <c r="M109" s="1397" t="s">
        <v>1548</v>
      </c>
    </row>
    <row r="110" spans="4:13" ht="30" hidden="1">
      <c r="D110" s="1396">
        <v>5707</v>
      </c>
      <c r="E110" s="1397" t="s">
        <v>1742</v>
      </c>
      <c r="F110" s="1397" t="s">
        <v>157</v>
      </c>
      <c r="G110" s="1398">
        <v>41235</v>
      </c>
      <c r="H110" s="1399">
        <v>41207</v>
      </c>
      <c r="I110" s="1397" t="s">
        <v>963</v>
      </c>
      <c r="J110" s="1397" t="s">
        <v>114</v>
      </c>
      <c r="K110" s="1396">
        <v>2386</v>
      </c>
      <c r="L110" s="1397" t="s">
        <v>1743</v>
      </c>
      <c r="M110" s="1397" t="s">
        <v>1548</v>
      </c>
    </row>
    <row r="111" spans="4:13" ht="15" hidden="1">
      <c r="D111" s="1396">
        <v>6072</v>
      </c>
      <c r="E111" s="1397" t="s">
        <v>1744</v>
      </c>
      <c r="F111" s="1397" t="s">
        <v>1745</v>
      </c>
      <c r="G111" s="1398">
        <v>41204</v>
      </c>
      <c r="H111" s="1399">
        <v>41164</v>
      </c>
      <c r="I111" s="1397" t="s">
        <v>963</v>
      </c>
      <c r="J111" s="1397" t="s">
        <v>114</v>
      </c>
      <c r="K111" s="1396">
        <v>2407</v>
      </c>
      <c r="L111" s="1397" t="s">
        <v>1746</v>
      </c>
      <c r="M111" s="1397" t="s">
        <v>1548</v>
      </c>
    </row>
    <row r="112" spans="4:13" ht="30" hidden="1">
      <c r="D112" s="1396">
        <v>6585</v>
      </c>
      <c r="E112" s="1397" t="s">
        <v>1747</v>
      </c>
      <c r="F112" s="1397" t="s">
        <v>158</v>
      </c>
      <c r="G112" s="1398">
        <v>41082</v>
      </c>
      <c r="H112" s="1399">
        <v>41078</v>
      </c>
      <c r="I112" s="1397" t="s">
        <v>963</v>
      </c>
      <c r="J112" s="1397" t="s">
        <v>114</v>
      </c>
      <c r="K112" s="1396">
        <v>2444</v>
      </c>
      <c r="L112" s="1397" t="s">
        <v>1748</v>
      </c>
      <c r="M112" s="1397" t="s">
        <v>1548</v>
      </c>
    </row>
    <row r="113" spans="4:13" ht="30" hidden="1">
      <c r="D113" s="1396">
        <v>6587</v>
      </c>
      <c r="E113" s="1397" t="s">
        <v>1749</v>
      </c>
      <c r="F113" s="1397" t="s">
        <v>159</v>
      </c>
      <c r="G113" s="1398">
        <v>41021</v>
      </c>
      <c r="H113" s="470"/>
      <c r="I113" s="1397" t="s">
        <v>963</v>
      </c>
      <c r="J113" s="1397" t="s">
        <v>114</v>
      </c>
      <c r="K113" s="1396">
        <v>2445</v>
      </c>
      <c r="L113" s="1397" t="s">
        <v>1750</v>
      </c>
      <c r="M113" s="1397" t="s">
        <v>1548</v>
      </c>
    </row>
    <row r="114" spans="4:13" ht="30" hidden="1">
      <c r="D114" s="1396">
        <v>6600</v>
      </c>
      <c r="E114" s="1397" t="s">
        <v>1751</v>
      </c>
      <c r="F114" s="1397" t="s">
        <v>160</v>
      </c>
      <c r="G114" s="1398">
        <v>41149</v>
      </c>
      <c r="H114" s="470"/>
      <c r="I114" s="1397" t="s">
        <v>963</v>
      </c>
      <c r="J114" s="1397" t="s">
        <v>114</v>
      </c>
      <c r="K114" s="1396">
        <v>2452</v>
      </c>
      <c r="L114" s="1397" t="s">
        <v>1752</v>
      </c>
      <c r="M114" s="1397" t="s">
        <v>1548</v>
      </c>
    </row>
    <row r="115" spans="4:13" ht="60">
      <c r="D115" s="1396">
        <v>6609</v>
      </c>
      <c r="E115" s="1397" t="s">
        <v>1753</v>
      </c>
      <c r="F115" s="1397" t="s">
        <v>259</v>
      </c>
      <c r="G115" s="1398">
        <v>41411</v>
      </c>
      <c r="H115" s="470"/>
      <c r="I115" s="1397" t="s">
        <v>963</v>
      </c>
      <c r="J115" s="1397" t="s">
        <v>1568</v>
      </c>
      <c r="K115" s="1396">
        <v>2455</v>
      </c>
      <c r="L115" s="1397" t="s">
        <v>1754</v>
      </c>
      <c r="M115" s="1397" t="s">
        <v>1174</v>
      </c>
    </row>
    <row r="116" spans="4:13" ht="45">
      <c r="D116" s="1396">
        <v>6610</v>
      </c>
      <c r="E116" s="1397" t="s">
        <v>1755</v>
      </c>
      <c r="F116" s="1397" t="s">
        <v>253</v>
      </c>
      <c r="G116" s="1398">
        <v>41243</v>
      </c>
      <c r="H116" s="470"/>
      <c r="I116" s="1397" t="s">
        <v>963</v>
      </c>
      <c r="J116" s="1397" t="s">
        <v>1568</v>
      </c>
      <c r="K116" s="1396">
        <v>2456</v>
      </c>
      <c r="L116" s="1397" t="s">
        <v>1756</v>
      </c>
      <c r="M116" s="1397" t="s">
        <v>1174</v>
      </c>
    </row>
    <row r="117" spans="4:13" ht="30" hidden="1">
      <c r="D117" s="1396">
        <v>6611</v>
      </c>
      <c r="E117" s="1397" t="s">
        <v>1757</v>
      </c>
      <c r="F117" s="1397" t="s">
        <v>162</v>
      </c>
      <c r="G117" s="1398">
        <v>40943</v>
      </c>
      <c r="H117" s="470"/>
      <c r="I117" s="1397" t="s">
        <v>963</v>
      </c>
      <c r="J117" s="1397" t="s">
        <v>114</v>
      </c>
      <c r="K117" s="1396">
        <v>2457</v>
      </c>
      <c r="L117" s="1397" t="s">
        <v>1758</v>
      </c>
      <c r="M117" s="1397" t="s">
        <v>1548</v>
      </c>
    </row>
    <row r="118" spans="4:13" ht="30" hidden="1">
      <c r="D118" s="1396">
        <v>6612</v>
      </c>
      <c r="E118" s="1397" t="s">
        <v>1759</v>
      </c>
      <c r="F118" s="1397" t="s">
        <v>163</v>
      </c>
      <c r="G118" s="1398">
        <v>41082</v>
      </c>
      <c r="H118" s="1399">
        <v>41078</v>
      </c>
      <c r="I118" s="1397" t="s">
        <v>963</v>
      </c>
      <c r="J118" s="1397" t="s">
        <v>1568</v>
      </c>
      <c r="K118" s="1396">
        <v>2458</v>
      </c>
      <c r="L118" s="1397" t="s">
        <v>1760</v>
      </c>
      <c r="M118" s="1397" t="s">
        <v>1548</v>
      </c>
    </row>
    <row r="119" spans="4:13" ht="30">
      <c r="D119" s="1396">
        <v>6896</v>
      </c>
      <c r="E119" s="1397" t="s">
        <v>1761</v>
      </c>
      <c r="F119" s="1397" t="s">
        <v>252</v>
      </c>
      <c r="G119" s="1398">
        <v>41182</v>
      </c>
      <c r="H119" s="470"/>
      <c r="I119" s="1397" t="s">
        <v>963</v>
      </c>
      <c r="J119" s="1397" t="s">
        <v>1568</v>
      </c>
      <c r="K119" s="1396">
        <v>2479</v>
      </c>
      <c r="L119" s="1397" t="s">
        <v>1762</v>
      </c>
      <c r="M119" s="1397" t="s">
        <v>1174</v>
      </c>
    </row>
    <row r="120" spans="4:13" ht="45">
      <c r="D120" s="1396">
        <v>6897</v>
      </c>
      <c r="E120" s="1397" t="s">
        <v>1763</v>
      </c>
      <c r="F120" s="1397" t="s">
        <v>1764</v>
      </c>
      <c r="G120" s="1398">
        <v>41182</v>
      </c>
      <c r="H120" s="470"/>
      <c r="I120" s="1397" t="s">
        <v>963</v>
      </c>
      <c r="J120" s="1397" t="s">
        <v>1568</v>
      </c>
      <c r="K120" s="1396">
        <v>2480</v>
      </c>
      <c r="L120" s="1397" t="s">
        <v>1765</v>
      </c>
      <c r="M120" s="1397" t="s">
        <v>1174</v>
      </c>
    </row>
    <row r="121" spans="4:13" ht="30">
      <c r="D121" s="1396">
        <v>6898</v>
      </c>
      <c r="E121" s="1397" t="s">
        <v>1766</v>
      </c>
      <c r="F121" s="1397" t="s">
        <v>299</v>
      </c>
      <c r="G121" s="1398">
        <v>41182</v>
      </c>
      <c r="H121" s="470"/>
      <c r="I121" s="1397" t="s">
        <v>963</v>
      </c>
      <c r="J121" s="1397" t="s">
        <v>1568</v>
      </c>
      <c r="K121" s="1396">
        <v>2481</v>
      </c>
      <c r="L121" s="1397" t="s">
        <v>1767</v>
      </c>
      <c r="M121" s="1397" t="s">
        <v>1174</v>
      </c>
    </row>
    <row r="122" spans="4:13" ht="30">
      <c r="D122" s="1396">
        <v>7016</v>
      </c>
      <c r="E122" s="1397" t="s">
        <v>1768</v>
      </c>
      <c r="F122" s="1397" t="s">
        <v>370</v>
      </c>
      <c r="G122" s="1398">
        <v>41182</v>
      </c>
      <c r="H122" s="470"/>
      <c r="I122" s="1397" t="s">
        <v>963</v>
      </c>
      <c r="J122" s="1397" t="s">
        <v>1568</v>
      </c>
      <c r="K122" s="1396">
        <v>2496</v>
      </c>
      <c r="L122" s="1397" t="s">
        <v>1769</v>
      </c>
      <c r="M122" s="1397" t="s">
        <v>1174</v>
      </c>
    </row>
    <row r="123" spans="4:13" ht="30" hidden="1">
      <c r="D123" s="1396">
        <v>7019</v>
      </c>
      <c r="E123" s="1397" t="s">
        <v>1770</v>
      </c>
      <c r="F123" s="1397" t="s">
        <v>164</v>
      </c>
      <c r="G123" s="1398">
        <v>41214</v>
      </c>
      <c r="H123" s="1399">
        <v>41214</v>
      </c>
      <c r="I123" s="1397" t="s">
        <v>963</v>
      </c>
      <c r="J123" s="1397" t="s">
        <v>114</v>
      </c>
      <c r="K123" s="1396">
        <v>2497</v>
      </c>
      <c r="L123" s="1397" t="s">
        <v>1771</v>
      </c>
      <c r="M123" s="1397" t="s">
        <v>1548</v>
      </c>
    </row>
    <row r="124" spans="4:13" ht="30">
      <c r="D124" s="1396">
        <v>7371</v>
      </c>
      <c r="E124" s="1397" t="s">
        <v>1772</v>
      </c>
      <c r="F124" s="1397" t="s">
        <v>165</v>
      </c>
      <c r="G124" s="1398">
        <v>41485</v>
      </c>
      <c r="H124" s="470"/>
      <c r="I124" s="1397" t="s">
        <v>963</v>
      </c>
      <c r="J124" s="1397" t="s">
        <v>1568</v>
      </c>
      <c r="K124" s="1396">
        <v>2527</v>
      </c>
      <c r="L124" s="1397" t="s">
        <v>1773</v>
      </c>
      <c r="M124" s="1397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0" t="s">
        <v>1778</v>
      </c>
      <c r="G4" s="1401" t="e">
        <f>(C10*G7)/G5</f>
        <v>#REF!</v>
      </c>
    </row>
    <row r="5" spans="2:7">
      <c r="B5" s="1402" t="s">
        <v>1779</v>
      </c>
      <c r="C5" s="1403"/>
      <c r="D5" s="1404"/>
      <c r="F5" s="1400" t="s">
        <v>1780</v>
      </c>
      <c r="G5" s="1405" t="e">
        <f>(((1+C7)^G6)*C7)/(((1+C7)^G6)-1)</f>
        <v>#REF!</v>
      </c>
    </row>
    <row r="6" spans="2:7">
      <c r="B6" s="1402" t="s">
        <v>1781</v>
      </c>
      <c r="C6" s="1403"/>
      <c r="D6" s="1404"/>
      <c r="F6" s="1400" t="s">
        <v>1782</v>
      </c>
      <c r="G6" s="1406" t="e">
        <f>G7/(C8*C9)</f>
        <v>#REF!</v>
      </c>
    </row>
    <row r="7" spans="2:7">
      <c r="B7" s="1402" t="s">
        <v>1783</v>
      </c>
      <c r="C7" s="1407">
        <f>'BD-NET'!Q114</f>
        <v>8.1942000000000001E-2</v>
      </c>
      <c r="D7" s="1404"/>
      <c r="F7" s="1400" t="s">
        <v>1784</v>
      </c>
      <c r="G7" s="1408">
        <f>12*(20000*C6+10000*C5)</f>
        <v>0</v>
      </c>
    </row>
    <row r="8" spans="2:7">
      <c r="B8" s="1402" t="s">
        <v>1785</v>
      </c>
      <c r="C8" s="1409" t="e">
        <f>C24</f>
        <v>#REF!</v>
      </c>
      <c r="D8" s="1410" t="s">
        <v>1786</v>
      </c>
    </row>
    <row r="9" spans="2:7">
      <c r="B9" s="1402" t="s">
        <v>1787</v>
      </c>
      <c r="C9" s="1411"/>
      <c r="D9" s="1404"/>
    </row>
    <row r="10" spans="2:7">
      <c r="B10" s="1402" t="s">
        <v>1788</v>
      </c>
      <c r="C10" s="1412" t="e">
        <f>F14</f>
        <v>#REF!</v>
      </c>
      <c r="D10" s="1404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2" t="s">
        <v>1793</v>
      </c>
      <c r="C13" s="1413" t="e">
        <f>C38</f>
        <v>#REF!</v>
      </c>
      <c r="D13" s="1402"/>
      <c r="E13" s="1402"/>
      <c r="F13" s="1414"/>
    </row>
    <row r="14" spans="2:7" ht="13.5" thickBot="1">
      <c r="B14" s="1402" t="s">
        <v>1794</v>
      </c>
      <c r="C14" s="1413" t="e">
        <f>(C32+E55)*($C$38/$C$35)</f>
        <v>#REF!</v>
      </c>
      <c r="D14" s="1415" t="e">
        <f>$C$17*(C14/($C$14+$C$15+$C$16))</f>
        <v>#REF!</v>
      </c>
      <c r="E14" s="1416" t="e">
        <f>C14-D14</f>
        <v>#REF!</v>
      </c>
      <c r="F14" s="458" t="e">
        <f>E14/$C$13</f>
        <v>#REF!</v>
      </c>
      <c r="G14" s="459" t="s">
        <v>1795</v>
      </c>
    </row>
    <row r="15" spans="2:7">
      <c r="B15" s="1402" t="s">
        <v>1796</v>
      </c>
      <c r="C15" s="1413" t="e">
        <f>C27*($C$38/$C$35)</f>
        <v>#REF!</v>
      </c>
      <c r="D15" s="1415" t="e">
        <f>$C$17*(C15/($C$14+$C$15+$C$16))</f>
        <v>#REF!</v>
      </c>
      <c r="E15" s="1415" t="e">
        <f>C15-D15</f>
        <v>#REF!</v>
      </c>
      <c r="F15" s="1417" t="e">
        <f>E15/$C$13</f>
        <v>#REF!</v>
      </c>
    </row>
    <row r="16" spans="2:7">
      <c r="B16" s="1402" t="s">
        <v>1797</v>
      </c>
      <c r="C16" s="1413" t="e">
        <f>(C33+D54)*($C$38/$C$35)</f>
        <v>#REF!</v>
      </c>
      <c r="D16" s="1415" t="e">
        <f>$C$17*(C16/($C$14+$C$15+$C$16))</f>
        <v>#REF!</v>
      </c>
      <c r="E16" s="1415" t="e">
        <f>C16-D16</f>
        <v>#REF!</v>
      </c>
      <c r="F16" s="1418" t="e">
        <f>E16/$C$13</f>
        <v>#REF!</v>
      </c>
    </row>
    <row r="17" spans="2:6">
      <c r="B17" s="1402" t="s">
        <v>1798</v>
      </c>
      <c r="C17" s="1413" t="e">
        <f>C39</f>
        <v>#REF!</v>
      </c>
      <c r="D17" s="1402"/>
      <c r="E17" s="1402"/>
      <c r="F17" s="1419" t="e">
        <f>C17/C13</f>
        <v>#REF!</v>
      </c>
    </row>
    <row r="18" spans="2:6">
      <c r="D18" s="440" t="e">
        <f>SUM(D14:D17)</f>
        <v>#REF!</v>
      </c>
      <c r="F18" s="1420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1" t="s">
        <v>1800</v>
      </c>
      <c r="C21" s="1422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1" t="s">
        <v>1803</v>
      </c>
      <c r="C24" s="1422" t="e">
        <f>#REF!+#REF!</f>
        <v>#REF!</v>
      </c>
    </row>
    <row r="27" spans="2:6">
      <c r="B27" s="1421" t="s">
        <v>1804</v>
      </c>
      <c r="C27" s="1422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1" t="s">
        <v>1808</v>
      </c>
      <c r="C31" s="1422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1" t="s">
        <v>1800</v>
      </c>
      <c r="C35" s="1422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1" t="s">
        <v>1803</v>
      </c>
      <c r="C38" s="1422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3" t="s">
        <v>1813</v>
      </c>
      <c r="C40" s="1424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5" t="s">
        <v>1776</v>
      </c>
      <c r="C3" s="1425" t="s">
        <v>1777</v>
      </c>
      <c r="D3" s="1426" t="s">
        <v>856</v>
      </c>
      <c r="E3" s="1426" t="s">
        <v>1816</v>
      </c>
      <c r="F3" s="1426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27" t="s">
        <v>1820</v>
      </c>
      <c r="C4" s="1428" t="e">
        <f>12*C5*(1-$E$13)*1/$E$16</f>
        <v>#DIV/0!</v>
      </c>
      <c r="D4" s="1404" t="s">
        <v>1821</v>
      </c>
      <c r="E4" s="1404"/>
      <c r="F4" s="1404"/>
      <c r="H4" s="1425" t="s">
        <v>1822</v>
      </c>
      <c r="I4" s="1425" t="s">
        <v>1823</v>
      </c>
      <c r="J4" s="1425" t="s">
        <v>1824</v>
      </c>
      <c r="K4" s="1425" t="s">
        <v>1825</v>
      </c>
      <c r="L4" s="1425" t="s">
        <v>1826</v>
      </c>
      <c r="M4" s="1425" t="s">
        <v>897</v>
      </c>
      <c r="N4" s="1425" t="s">
        <v>533</v>
      </c>
      <c r="O4" s="1425" t="s">
        <v>537</v>
      </c>
      <c r="P4" s="1425" t="s">
        <v>535</v>
      </c>
      <c r="Q4" s="1425" t="s">
        <v>538</v>
      </c>
    </row>
    <row r="5" spans="2:17">
      <c r="B5" s="1427" t="s">
        <v>1781</v>
      </c>
      <c r="C5" s="1429"/>
      <c r="D5" s="1404"/>
      <c r="E5" s="1404"/>
      <c r="F5" s="1404" t="s">
        <v>1827</v>
      </c>
      <c r="H5" s="1427" t="s">
        <v>1820</v>
      </c>
      <c r="I5" s="1428" t="e">
        <f t="shared" ref="I5:Q5" si="0">12*I6*(1-$E$13)*1/$E$16</f>
        <v>#DIV/0!</v>
      </c>
      <c r="J5" s="1428" t="e">
        <f t="shared" si="0"/>
        <v>#DIV/0!</v>
      </c>
      <c r="K5" s="1428" t="e">
        <f t="shared" si="0"/>
        <v>#DIV/0!</v>
      </c>
      <c r="L5" s="1428" t="e">
        <f t="shared" si="0"/>
        <v>#DIV/0!</v>
      </c>
      <c r="M5" s="1428" t="e">
        <f t="shared" si="0"/>
        <v>#DIV/0!</v>
      </c>
      <c r="N5" s="1428" t="e">
        <f t="shared" si="0"/>
        <v>#DIV/0!</v>
      </c>
      <c r="O5" s="1428" t="e">
        <f t="shared" si="0"/>
        <v>#DIV/0!</v>
      </c>
      <c r="P5" s="1428" t="e">
        <f t="shared" si="0"/>
        <v>#DIV/0!</v>
      </c>
      <c r="Q5" s="1428" t="e">
        <f t="shared" si="0"/>
        <v>#DIV/0!</v>
      </c>
    </row>
    <row r="6" spans="2:17">
      <c r="B6" s="1427" t="s">
        <v>1828</v>
      </c>
      <c r="C6" s="1430"/>
      <c r="D6" s="1404" t="s">
        <v>1829</v>
      </c>
      <c r="E6" s="1404"/>
      <c r="F6" s="1431"/>
      <c r="H6" s="1427" t="s">
        <v>1781</v>
      </c>
      <c r="I6" s="1432"/>
      <c r="J6" s="1432"/>
      <c r="K6" s="1432"/>
      <c r="L6" s="1432"/>
      <c r="M6" s="1403"/>
      <c r="N6" s="1433"/>
      <c r="O6" s="1403"/>
      <c r="P6" s="1403"/>
      <c r="Q6" s="1403"/>
    </row>
    <row r="7" spans="2:17">
      <c r="B7" s="1427" t="s">
        <v>1830</v>
      </c>
      <c r="C7" s="1430"/>
      <c r="D7" s="1404" t="s">
        <v>1831</v>
      </c>
      <c r="E7" s="1404"/>
      <c r="F7" s="1431"/>
      <c r="H7" s="1427" t="s">
        <v>1828</v>
      </c>
      <c r="I7" s="1866">
        <f>C6</f>
        <v>0</v>
      </c>
      <c r="J7" s="1867"/>
      <c r="K7" s="1867"/>
      <c r="L7" s="1867"/>
      <c r="M7" s="1867"/>
      <c r="N7" s="1867"/>
      <c r="O7" s="1867"/>
      <c r="P7" s="1867"/>
      <c r="Q7" s="1868"/>
    </row>
    <row r="8" spans="2:17">
      <c r="B8" s="1427" t="s">
        <v>1832</v>
      </c>
      <c r="C8" s="1434"/>
      <c r="D8" s="1404" t="s">
        <v>1833</v>
      </c>
      <c r="E8" s="1404" t="s">
        <v>1834</v>
      </c>
      <c r="F8" s="1435"/>
      <c r="G8" s="429"/>
      <c r="H8" s="1427" t="s">
        <v>1832</v>
      </c>
      <c r="I8" s="1869">
        <f>C8</f>
        <v>0</v>
      </c>
      <c r="J8" s="1870"/>
      <c r="K8" s="1870"/>
      <c r="L8" s="1870"/>
      <c r="M8" s="1870"/>
      <c r="N8" s="1870"/>
      <c r="O8" s="1870"/>
      <c r="P8" s="1870"/>
      <c r="Q8" s="1871"/>
    </row>
    <row r="9" spans="2:17">
      <c r="B9" s="1427" t="s">
        <v>1835</v>
      </c>
      <c r="C9" s="1430"/>
      <c r="D9" s="1404" t="s">
        <v>1836</v>
      </c>
      <c r="E9" s="1404"/>
      <c r="F9" s="1435"/>
      <c r="H9" s="1427" t="s">
        <v>1835</v>
      </c>
      <c r="I9" s="1866">
        <f>C9</f>
        <v>0</v>
      </c>
      <c r="J9" s="1867"/>
      <c r="K9" s="1867"/>
      <c r="L9" s="1867"/>
      <c r="M9" s="1867"/>
      <c r="N9" s="1867"/>
      <c r="O9" s="1867"/>
      <c r="P9" s="1867"/>
      <c r="Q9" s="1868"/>
    </row>
    <row r="10" spans="2:17">
      <c r="B10" s="1427" t="s">
        <v>1837</v>
      </c>
      <c r="C10" s="1434"/>
      <c r="D10" s="1404" t="s">
        <v>1838</v>
      </c>
      <c r="E10" s="1404" t="s">
        <v>1839</v>
      </c>
      <c r="F10" s="1435"/>
      <c r="G10" s="429"/>
      <c r="H10" s="1427" t="s">
        <v>1837</v>
      </c>
      <c r="I10" s="1872">
        <f>C10</f>
        <v>0</v>
      </c>
      <c r="J10" s="1873"/>
      <c r="K10" s="1873"/>
      <c r="L10" s="1873"/>
      <c r="M10" s="1873"/>
      <c r="N10" s="1873"/>
      <c r="O10" s="1873"/>
      <c r="P10" s="1873"/>
      <c r="Q10" s="1874"/>
    </row>
    <row r="12" spans="2:17">
      <c r="D12" s="426" t="s">
        <v>1840</v>
      </c>
    </row>
    <row r="13" spans="2:17">
      <c r="D13" s="1400" t="s">
        <v>1841</v>
      </c>
      <c r="E13" s="1436" t="e">
        <f>C10/C8</f>
        <v>#DIV/0!</v>
      </c>
      <c r="H13" s="428" t="s">
        <v>1842</v>
      </c>
      <c r="M13" s="430">
        <v>4.2321999999999997</v>
      </c>
    </row>
    <row r="14" spans="2:17">
      <c r="D14" s="1400" t="s">
        <v>1843</v>
      </c>
      <c r="E14" s="1437" t="e">
        <f>1/C9</f>
        <v>#DIV/0!</v>
      </c>
      <c r="H14" s="428" t="s">
        <v>1844</v>
      </c>
      <c r="M14" s="423">
        <v>1.01916916988504</v>
      </c>
    </row>
    <row r="15" spans="2:17">
      <c r="D15" s="1400" t="s">
        <v>1845</v>
      </c>
      <c r="E15" s="1438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0" t="s">
        <v>1780</v>
      </c>
      <c r="E16" s="1439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1" t="s">
        <v>1800</v>
      </c>
      <c r="C20" s="1422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1" t="s">
        <v>1803</v>
      </c>
      <c r="C23" s="1422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1" t="s">
        <v>1804</v>
      </c>
      <c r="C25" s="1440"/>
      <c r="E25" s="436" t="s">
        <v>1854</v>
      </c>
      <c r="F25" s="437"/>
    </row>
    <row r="26" spans="2:13">
      <c r="B26" s="432" t="s">
        <v>1805</v>
      </c>
      <c r="C26" s="460"/>
      <c r="E26" s="1441" t="s">
        <v>1855</v>
      </c>
      <c r="F26" s="1442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3" t="s">
        <v>1807</v>
      </c>
      <c r="C28" s="1443"/>
      <c r="E28" s="1441" t="s">
        <v>1857</v>
      </c>
      <c r="F28" s="1442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91552.993000000031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59476.884000000013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6897</v>
      </c>
    </row>
    <row r="22" spans="2:3">
      <c r="B22" s="63" t="s">
        <v>1066</v>
      </c>
      <c r="C22">
        <f t="shared" ca="1" si="0"/>
        <v>218</v>
      </c>
    </row>
    <row r="23" spans="2:3">
      <c r="B23" s="63" t="s">
        <v>1878</v>
      </c>
      <c r="C23">
        <f t="shared" ca="1" si="0"/>
        <v>9.1274335705953599E-2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12368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0.28767831465753391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0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9.7521035077307694E-2</v>
      </c>
    </row>
    <row r="42" spans="2:3">
      <c r="B42" s="63" t="s">
        <v>1897</v>
      </c>
      <c r="C42">
        <f t="shared" ca="1" si="0"/>
        <v>6.6974326945341334E-2</v>
      </c>
    </row>
    <row r="43" spans="2:3">
      <c r="B43" s="63" t="s">
        <v>1898</v>
      </c>
      <c r="C43">
        <f t="shared" ca="1" si="0"/>
        <v>0.11130835735180433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9.7521035077307694E-2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101628.07300000003</v>
      </c>
    </row>
    <row r="50" spans="2:3">
      <c r="B50" s="63" t="s">
        <v>1905</v>
      </c>
      <c r="C50">
        <f t="shared" ca="1" si="0"/>
        <v>0.25069999999999998</v>
      </c>
    </row>
    <row r="51" spans="2:3">
      <c r="B51" s="63" t="s">
        <v>1906</v>
      </c>
      <c r="C51">
        <f t="shared" ca="1" si="0"/>
        <v>91552.993000000031</v>
      </c>
    </row>
    <row r="52" spans="2:3">
      <c r="B52" s="63" t="s">
        <v>1907</v>
      </c>
      <c r="C52">
        <f t="shared" ca="1" si="0"/>
        <v>91552.993000000031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0.40386011064541089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0.25319214403612694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-2.1419733765713524E-2</v>
      </c>
    </row>
    <row r="62" spans="2:3">
      <c r="B62" s="63" t="s">
        <v>1917</v>
      </c>
      <c r="C62">
        <f t="shared" ca="1" si="0"/>
        <v>7.1900000000000006E-2</v>
      </c>
    </row>
    <row r="63" spans="2:3">
      <c r="B63" s="63" t="s">
        <v>1918</v>
      </c>
      <c r="C63">
        <f t="shared" ca="1" si="0"/>
        <v>5.3005912821460895E-2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4.9705268785957567E-2</v>
      </c>
    </row>
    <row r="66" spans="2:3">
      <c r="B66" s="63" t="s">
        <v>1921</v>
      </c>
      <c r="C66">
        <f t="shared" ca="1" si="0"/>
        <v>2.2226897002796359E-2</v>
      </c>
    </row>
    <row r="67" spans="2:3">
      <c r="B67" s="63" t="s">
        <v>1922</v>
      </c>
      <c r="C67">
        <f t="shared" ref="C67:C130" ca="1" si="1">INDIRECT(B67)</f>
        <v>1.811908973021022E-2</v>
      </c>
    </row>
    <row r="68" spans="2:3">
      <c r="B68" s="63" t="s">
        <v>1923</v>
      </c>
      <c r="C68">
        <f t="shared" ca="1" si="1"/>
        <v>-0.1532</v>
      </c>
    </row>
    <row r="69" spans="2:3">
      <c r="B69" s="63" t="s">
        <v>1924</v>
      </c>
      <c r="C69">
        <f t="shared" ca="1" si="1"/>
        <v>212834.36761048861</v>
      </c>
    </row>
    <row r="70" spans="2:3">
      <c r="B70" s="63" t="s">
        <v>1925</v>
      </c>
      <c r="C70" t="str">
        <f t="shared" ca="1" si="1"/>
        <v>Cooperativa Distribuidora de Energia Vale do Araçá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24/2008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0.5545994637375038</v>
      </c>
    </row>
    <row r="75" spans="2:3">
      <c r="B75" s="63" t="s">
        <v>1930</v>
      </c>
      <c r="C75">
        <f t="shared" ca="1" si="1"/>
        <v>0.44540053626249615</v>
      </c>
    </row>
    <row r="76" spans="2:3">
      <c r="B76" s="63" t="s">
        <v>1931</v>
      </c>
      <c r="C76">
        <f t="shared" ca="1" si="1"/>
        <v>9.913678083810562E-2</v>
      </c>
    </row>
    <row r="77" spans="2:3">
      <c r="B77" s="63" t="s">
        <v>1932</v>
      </c>
      <c r="C77">
        <f t="shared" ca="1" si="1"/>
        <v>3.4486170621406985E-2</v>
      </c>
    </row>
    <row r="78" spans="2:3">
      <c r="B78" s="63" t="s">
        <v>1933</v>
      </c>
      <c r="C78">
        <f t="shared" ca="1" si="1"/>
        <v>10075.080000000002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865305.55296727712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1635.6737817539956</v>
      </c>
    </row>
    <row r="83" spans="2:3">
      <c r="B83" s="63" t="s">
        <v>1938</v>
      </c>
      <c r="C83">
        <f t="shared" ca="1" si="1"/>
        <v>54457200.200000003</v>
      </c>
    </row>
    <row r="84" spans="2:3">
      <c r="B84" s="63" t="s">
        <v>1939</v>
      </c>
      <c r="C84">
        <f t="shared" ca="1" si="1"/>
        <v>0</v>
      </c>
    </row>
    <row r="85" spans="2:3">
      <c r="B85" s="63" t="s">
        <v>1940</v>
      </c>
      <c r="C85">
        <f t="shared" ca="1" si="1"/>
        <v>0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Ceraçá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10275212.197579999</v>
      </c>
    </row>
    <row r="92" spans="2:3">
      <c r="B92" s="64" t="s">
        <v>1947</v>
      </c>
      <c r="C92">
        <f t="shared" ca="1" si="1"/>
        <v>-8.2400000000000001E-2</v>
      </c>
    </row>
    <row r="93" spans="2:3">
      <c r="B93" s="64" t="s">
        <v>1948</v>
      </c>
      <c r="C93">
        <f t="shared" ca="1" si="1"/>
        <v>0.46400000000000002</v>
      </c>
    </row>
    <row r="94" spans="2:3">
      <c r="B94" s="64" t="s">
        <v>1949</v>
      </c>
      <c r="C94">
        <f t="shared" ca="1" si="1"/>
        <v>0.1062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5266263.8801412862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853401.01320259506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101287.302274345</v>
      </c>
    </row>
    <row r="129" spans="2:3">
      <c r="B129" s="63" t="s">
        <v>1984</v>
      </c>
      <c r="C129">
        <f t="shared" ca="1" si="1"/>
        <v>91552.993000000031</v>
      </c>
    </row>
    <row r="130" spans="2:3">
      <c r="B130" s="63" t="s">
        <v>1985</v>
      </c>
      <c r="C130">
        <f t="shared" ca="1" si="1"/>
        <v>54457200.200000003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2022-09-27T18:14:52Z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